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ropbox\איגוד הדירקטורים\קורסים\קורס קריאה וניתוח דוחות כספיים 4 מפגשים\קורס קריאה וניתוח דוחות כספיים 04.05.2015\חומרים לקורס\"/>
    </mc:Choice>
  </mc:AlternateContent>
  <bookViews>
    <workbookView xWindow="0" yWindow="0" windowWidth="19170" windowHeight="7725" activeTab="2"/>
  </bookViews>
  <sheets>
    <sheet name="BS" sheetId="1" r:id="rId1"/>
    <sheet name="IS" sheetId="2" r:id="rId2"/>
    <sheet name="CF"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8" i="1" l="1"/>
  <c r="B48" i="1"/>
  <c r="H6" i="3"/>
  <c r="E6" i="3"/>
  <c r="B6" i="3"/>
  <c r="J15" i="2"/>
  <c r="F15" i="2"/>
  <c r="B15" i="2"/>
  <c r="F9" i="1"/>
  <c r="G9" i="1" s="1"/>
  <c r="D47" i="1"/>
  <c r="D46" i="1"/>
  <c r="B47" i="1"/>
  <c r="B46" i="1"/>
  <c r="H17" i="2"/>
  <c r="I17" i="2" s="1"/>
  <c r="H14" i="2"/>
  <c r="I14" i="2" s="1"/>
  <c r="H13" i="2"/>
  <c r="I13" i="2" s="1"/>
  <c r="H10" i="2"/>
  <c r="I10" i="2" s="1"/>
  <c r="H9" i="2"/>
  <c r="I9" i="2" s="1"/>
  <c r="H8" i="2"/>
  <c r="I8" i="2" s="1"/>
  <c r="H7" i="2"/>
  <c r="I7" i="2" s="1"/>
  <c r="H5" i="2"/>
  <c r="I5" i="2" s="1"/>
  <c r="H4" i="2"/>
  <c r="I4" i="2" s="1"/>
  <c r="D5" i="2"/>
  <c r="E5" i="2" s="1"/>
  <c r="D7" i="2"/>
  <c r="E7" i="2" s="1"/>
  <c r="D8" i="2"/>
  <c r="E8" i="2" s="1"/>
  <c r="D9" i="2"/>
  <c r="E9" i="2" s="1"/>
  <c r="D10" i="2"/>
  <c r="E10" i="2" s="1"/>
  <c r="D13" i="2"/>
  <c r="E13" i="2" s="1"/>
  <c r="D14" i="2"/>
  <c r="E14" i="2" s="1"/>
  <c r="D17" i="2"/>
  <c r="E17" i="2" s="1"/>
  <c r="D4" i="2"/>
  <c r="E4" i="2" s="1"/>
  <c r="K17" i="2"/>
  <c r="K14" i="2"/>
  <c r="K13" i="2"/>
  <c r="K10" i="2"/>
  <c r="K9" i="2"/>
  <c r="K8" i="2"/>
  <c r="K7" i="2"/>
  <c r="K5" i="2"/>
  <c r="K4" i="2"/>
  <c r="G17" i="2"/>
  <c r="G14" i="2"/>
  <c r="G13" i="2"/>
  <c r="G10" i="2"/>
  <c r="G9" i="2"/>
  <c r="G8" i="2"/>
  <c r="G7" i="2"/>
  <c r="G5" i="2"/>
  <c r="G4" i="2"/>
  <c r="C4" i="2"/>
  <c r="C7" i="2"/>
  <c r="C8" i="2"/>
  <c r="C9" i="2"/>
  <c r="C10" i="2"/>
  <c r="C13" i="2"/>
  <c r="C14" i="2"/>
  <c r="C17" i="2"/>
  <c r="C5" i="2"/>
  <c r="F36" i="1"/>
  <c r="G36" i="1" s="1"/>
  <c r="F35" i="1"/>
  <c r="G35" i="1" s="1"/>
  <c r="F34" i="1"/>
  <c r="G34" i="1" s="1"/>
  <c r="F33" i="1"/>
  <c r="G33" i="1" s="1"/>
  <c r="F32" i="1"/>
  <c r="G32" i="1" s="1"/>
  <c r="F29" i="1"/>
  <c r="G29" i="1" s="1"/>
  <c r="F28" i="1"/>
  <c r="G28" i="1" s="1"/>
  <c r="F27" i="1"/>
  <c r="G27" i="1" s="1"/>
  <c r="F24" i="1"/>
  <c r="G24" i="1" s="1"/>
  <c r="F23" i="1"/>
  <c r="G23" i="1" s="1"/>
  <c r="F22" i="1"/>
  <c r="G22" i="1" s="1"/>
  <c r="F21" i="1"/>
  <c r="F7" i="1"/>
  <c r="G7" i="1" s="1"/>
  <c r="F8" i="1"/>
  <c r="G8" i="1" s="1"/>
  <c r="F10" i="1"/>
  <c r="G10" i="1" s="1"/>
  <c r="F11" i="1"/>
  <c r="F14" i="1"/>
  <c r="G14" i="1" s="1"/>
  <c r="F15" i="1"/>
  <c r="G15" i="1" s="1"/>
  <c r="F6" i="1"/>
  <c r="G6" i="1" s="1"/>
  <c r="E16" i="3" l="1"/>
  <c r="H16" i="3"/>
  <c r="B16" i="3"/>
  <c r="E12" i="3"/>
  <c r="H12" i="3"/>
  <c r="B12" i="3"/>
  <c r="J11" i="2"/>
  <c r="K11" i="2" s="1"/>
  <c r="K15" i="2"/>
  <c r="F11" i="2"/>
  <c r="F6" i="2"/>
  <c r="J6" i="2"/>
  <c r="K6" i="2" s="1"/>
  <c r="C15" i="2"/>
  <c r="B11" i="2"/>
  <c r="B6" i="2"/>
  <c r="C6" i="2" s="1"/>
  <c r="D37" i="1"/>
  <c r="D30" i="1"/>
  <c r="D25" i="1"/>
  <c r="B37" i="1"/>
  <c r="B30" i="1"/>
  <c r="B25" i="1"/>
  <c r="D16" i="1"/>
  <c r="D12" i="1"/>
  <c r="D51" i="1" s="1"/>
  <c r="B16" i="1"/>
  <c r="B12" i="1"/>
  <c r="B51" i="1" s="1"/>
  <c r="B40" i="1" l="1"/>
  <c r="B42" i="1"/>
  <c r="D43" i="1"/>
  <c r="D41" i="1"/>
  <c r="B41" i="1"/>
  <c r="B43" i="1"/>
  <c r="B38" i="1"/>
  <c r="D42" i="1"/>
  <c r="D40" i="1"/>
  <c r="C16" i="3"/>
  <c r="D16" i="3" s="1"/>
  <c r="D38" i="1"/>
  <c r="D44" i="1" s="1"/>
  <c r="F16" i="3"/>
  <c r="G16" i="3" s="1"/>
  <c r="C12" i="3"/>
  <c r="D12" i="3" s="1"/>
  <c r="F12" i="3"/>
  <c r="G12" i="3" s="1"/>
  <c r="D52" i="1"/>
  <c r="D50" i="1"/>
  <c r="B52" i="1"/>
  <c r="B50" i="1"/>
  <c r="G11" i="2"/>
  <c r="H11" i="2"/>
  <c r="I11" i="2" s="1"/>
  <c r="D11" i="2"/>
  <c r="E11" i="2" s="1"/>
  <c r="C11" i="2"/>
  <c r="B12" i="2"/>
  <c r="G15" i="2"/>
  <c r="D15" i="2"/>
  <c r="E15" i="2" s="1"/>
  <c r="H15" i="2"/>
  <c r="I15" i="2" s="1"/>
  <c r="G6" i="2"/>
  <c r="H6" i="2"/>
  <c r="I6" i="2" s="1"/>
  <c r="D6" i="2"/>
  <c r="E6" i="2" s="1"/>
  <c r="F12" i="2"/>
  <c r="F21" i="2" s="1"/>
  <c r="F30" i="1"/>
  <c r="G30" i="1" s="1"/>
  <c r="F12" i="1"/>
  <c r="G12" i="1" s="1"/>
  <c r="D17" i="1"/>
  <c r="F37" i="1"/>
  <c r="G37" i="1" s="1"/>
  <c r="F16" i="1"/>
  <c r="G16" i="1" s="1"/>
  <c r="B17" i="1"/>
  <c r="F25" i="1"/>
  <c r="J12" i="2"/>
  <c r="J21" i="2" s="1"/>
  <c r="B21" i="2" l="1"/>
  <c r="B16" i="2"/>
  <c r="B44" i="1"/>
  <c r="J16" i="2"/>
  <c r="F16" i="2"/>
  <c r="G25" i="1"/>
  <c r="F38" i="1"/>
  <c r="C16" i="1"/>
  <c r="C9" i="1"/>
  <c r="E25" i="1"/>
  <c r="E9" i="1"/>
  <c r="C25" i="1"/>
  <c r="C12" i="1"/>
  <c r="C30" i="1"/>
  <c r="C38" i="1"/>
  <c r="E37" i="1"/>
  <c r="C12" i="2"/>
  <c r="H12" i="2"/>
  <c r="I12" i="2" s="1"/>
  <c r="D12" i="2"/>
  <c r="E12" i="2" s="1"/>
  <c r="J20" i="2"/>
  <c r="K12" i="2"/>
  <c r="G12" i="2"/>
  <c r="F20" i="2"/>
  <c r="D39" i="1"/>
  <c r="E36" i="1"/>
  <c r="E32" i="1"/>
  <c r="E7" i="1"/>
  <c r="E17" i="1"/>
  <c r="E35" i="1"/>
  <c r="E24" i="1"/>
  <c r="E8" i="1"/>
  <c r="E14" i="1"/>
  <c r="E6" i="1"/>
  <c r="E34" i="1"/>
  <c r="E29" i="1"/>
  <c r="E23" i="1"/>
  <c r="E21" i="1"/>
  <c r="E10" i="1"/>
  <c r="E15" i="1"/>
  <c r="E33" i="1"/>
  <c r="E28" i="1"/>
  <c r="E27" i="1"/>
  <c r="E22" i="1"/>
  <c r="E11" i="1"/>
  <c r="E30" i="1"/>
  <c r="C36" i="1"/>
  <c r="C32" i="1"/>
  <c r="C11" i="1"/>
  <c r="C35" i="1"/>
  <c r="C24" i="1"/>
  <c r="C15" i="1"/>
  <c r="C10" i="1"/>
  <c r="C6" i="1"/>
  <c r="C34" i="1"/>
  <c r="C29" i="1"/>
  <c r="C23" i="1"/>
  <c r="C21" i="1"/>
  <c r="C14" i="1"/>
  <c r="C8" i="1"/>
  <c r="F17" i="1"/>
  <c r="G17" i="1" s="1"/>
  <c r="C33" i="1"/>
  <c r="C28" i="1"/>
  <c r="C27" i="1"/>
  <c r="C22" i="1"/>
  <c r="C17" i="1"/>
  <c r="C7" i="1"/>
  <c r="E16" i="1"/>
  <c r="C37" i="1"/>
  <c r="E12" i="1"/>
  <c r="H21" i="2" l="1"/>
  <c r="I21" i="2" s="1"/>
  <c r="D21" i="2"/>
  <c r="E21" i="2" s="1"/>
  <c r="B39" i="1"/>
  <c r="E38" i="1"/>
  <c r="B20" i="2"/>
  <c r="C16" i="2"/>
  <c r="B18" i="2"/>
  <c r="H16" i="2"/>
  <c r="I16" i="2" s="1"/>
  <c r="D16" i="2"/>
  <c r="E16" i="2" s="1"/>
  <c r="F18" i="2"/>
  <c r="G16" i="2"/>
  <c r="J18" i="2"/>
  <c r="H5" i="3" s="1"/>
  <c r="K16" i="2"/>
  <c r="G38" i="1"/>
  <c r="E5" i="3" l="1"/>
  <c r="F23" i="2"/>
  <c r="B5" i="3"/>
  <c r="B23" i="2"/>
  <c r="B24" i="2"/>
  <c r="C18" i="2"/>
  <c r="B7" i="3"/>
  <c r="B17" i="3" s="1"/>
  <c r="F24" i="2"/>
  <c r="H18" i="2"/>
  <c r="I18" i="2" s="1"/>
  <c r="D18" i="2"/>
  <c r="E18" i="2" s="1"/>
  <c r="G18" i="2"/>
  <c r="E7" i="3"/>
  <c r="K18" i="2"/>
  <c r="H7" i="3"/>
  <c r="H17" i="3" s="1"/>
  <c r="H20" i="3" s="1"/>
  <c r="E18" i="3" s="1"/>
  <c r="E17" i="3" l="1"/>
  <c r="E20" i="3" s="1"/>
  <c r="B18" i="3" s="1"/>
  <c r="B20" i="3" s="1"/>
  <c r="F7" i="3"/>
  <c r="G7" i="3" s="1"/>
  <c r="C7" i="3"/>
  <c r="D7" i="3" s="1"/>
</calcChain>
</file>

<file path=xl/sharedStrings.xml><?xml version="1.0" encoding="utf-8"?>
<sst xmlns="http://schemas.openxmlformats.org/spreadsheetml/2006/main" count="135" uniqueCount="122">
  <si>
    <t>נכסים</t>
  </si>
  <si>
    <t>מזומנים ושווי</t>
  </si>
  <si>
    <t>חייבים ויתרות חובה</t>
  </si>
  <si>
    <t>מלאי</t>
  </si>
  <si>
    <t>סה"כ נכסים שוטפים</t>
  </si>
  <si>
    <t>רכוש קבוע, נטו</t>
  </si>
  <si>
    <t>סה"כ נכסים לא שוטפים</t>
  </si>
  <si>
    <t>סה"כ נכסים</t>
  </si>
  <si>
    <t>31/12/12</t>
  </si>
  <si>
    <t>נכסים שוטפים:</t>
  </si>
  <si>
    <t>נכסים לא שוטפים:</t>
  </si>
  <si>
    <t>דוחות מאוחדים באלפי ₪</t>
  </si>
  <si>
    <t>התחייבויות והון</t>
  </si>
  <si>
    <t>ספקים ונותני שירותים</t>
  </si>
  <si>
    <t>זכאים ויתרות זכות</t>
  </si>
  <si>
    <t>סה"כ התחייבויות שוטפות</t>
  </si>
  <si>
    <t>התחייבויות אחרות</t>
  </si>
  <si>
    <t>התחייבויות בגין עובדים</t>
  </si>
  <si>
    <t>סה"כ התחייבויות לא שוטפות</t>
  </si>
  <si>
    <t>הון מניות</t>
  </si>
  <si>
    <t>פרמיה</t>
  </si>
  <si>
    <t>קרנות הון</t>
  </si>
  <si>
    <t>סה"כ התחייבויות והון</t>
  </si>
  <si>
    <t>אשראי מבנקים</t>
  </si>
  <si>
    <t>דוחות מאוחדים אלפי ₪</t>
  </si>
  <si>
    <t>הכנסות</t>
  </si>
  <si>
    <t>עלות המכירות</t>
  </si>
  <si>
    <t>רווח גולמי</t>
  </si>
  <si>
    <t>הוצ' S&amp;M</t>
  </si>
  <si>
    <t>הוצ' SG&amp;A</t>
  </si>
  <si>
    <t>הוצ' אחרות</t>
  </si>
  <si>
    <t>סה"כ הוצאות</t>
  </si>
  <si>
    <t>רווח תיפעולי</t>
  </si>
  <si>
    <t>הכנסות מימון</t>
  </si>
  <si>
    <t>הוצ' מימון</t>
  </si>
  <si>
    <t>הוצ' מימון נטו</t>
  </si>
  <si>
    <t>P&amp;L לפני מיסים</t>
  </si>
  <si>
    <t>מיסים</t>
  </si>
  <si>
    <t>רווח נקי</t>
  </si>
  <si>
    <t>התחייבויות שוטפות:</t>
  </si>
  <si>
    <t>התחייבויות לא שוטפות:</t>
  </si>
  <si>
    <t>P&amp;L</t>
  </si>
  <si>
    <t>התאמות</t>
  </si>
  <si>
    <t>מזומנים נטו</t>
  </si>
  <si>
    <t>רכישת רכוש קבוע</t>
  </si>
  <si>
    <t>מכירת רכוש קבוע</t>
  </si>
  <si>
    <t>אשראי ז.ק.</t>
  </si>
  <si>
    <t>דיבידנד שחולק</t>
  </si>
  <si>
    <t>יתרת מזומנים לתחילת השנה</t>
  </si>
  <si>
    <t>השפעת השינויים בשערי החליפין</t>
  </si>
  <si>
    <t>יתרת מזומנים לסוף השנה</t>
  </si>
  <si>
    <t>% מהסה"כ</t>
  </si>
  <si>
    <t>באלפי ₪</t>
  </si>
  <si>
    <t>ב-%</t>
  </si>
  <si>
    <t>שינוי מול 2011</t>
  </si>
  <si>
    <t>שינוי מול 2010</t>
  </si>
  <si>
    <t>% מהכנסות</t>
  </si>
  <si>
    <t>שיעור המס האפקטיבי</t>
  </si>
  <si>
    <t>EDITDA</t>
  </si>
  <si>
    <t>פחת והפחתות</t>
  </si>
  <si>
    <t>% רווח נקי ביחס להון עצמי</t>
  </si>
  <si>
    <t>% רווח נקי ביחס לסך הנכסים</t>
  </si>
  <si>
    <t>מזומנים נטו ששימשו למימון</t>
  </si>
  <si>
    <t>% התחייבויות ז.ק. להון</t>
  </si>
  <si>
    <t>% התחייבויות ז.א. להון</t>
  </si>
  <si>
    <t xml:space="preserve">% סה"כ ההתחייבויות להון </t>
  </si>
  <si>
    <t>מינוף פיננסי</t>
  </si>
  <si>
    <t>מדד סיכון - שיעור הכיסוי של הנושים</t>
  </si>
  <si>
    <t>יחס חייבים למכירות</t>
  </si>
  <si>
    <t>יחס מלאי לעלות המכירות</t>
  </si>
  <si>
    <t>יחס שוטף</t>
  </si>
  <si>
    <t>יחס מהיר</t>
  </si>
  <si>
    <t>רמת הנזילות:</t>
  </si>
  <si>
    <t>הון חוזר</t>
  </si>
  <si>
    <t>יעילות תפעולית:</t>
  </si>
  <si>
    <t>יחס מחזור לחייבים</t>
  </si>
  <si>
    <t>ירידה מ-2011</t>
  </si>
  <si>
    <t>תזרים מפעילות שוטפת:</t>
  </si>
  <si>
    <t>תזרים מפעילות השקעה:</t>
  </si>
  <si>
    <t>תזרים מפעילות מימון:</t>
  </si>
  <si>
    <t>השינוי בין 2013 ל-2012</t>
  </si>
  <si>
    <t>31/12/13</t>
  </si>
  <si>
    <t>לקוחות</t>
  </si>
  <si>
    <t>מיסים שוטפים לקבל</t>
  </si>
  <si>
    <t>מענק השקעה</t>
  </si>
  <si>
    <t>מיסים נדחים</t>
  </si>
  <si>
    <t>הפרשה לתביעות</t>
  </si>
  <si>
    <t>מניות אוצר</t>
  </si>
  <si>
    <t>יתרת רוות</t>
  </si>
  <si>
    <t>הכנס' אחרות</t>
  </si>
  <si>
    <t>שינוי ביתרות בעלי עניין</t>
  </si>
  <si>
    <t>עליה/(ירידה) במזומנים</t>
  </si>
  <si>
    <t>שחיקה ברווחיות מ-26% ל-20% ב-2012 ול-19% ב-2013. עם מחזור הכנסות גבוה מ-2011 רווח נמוך ב-3 מיליון ₪</t>
  </si>
  <si>
    <t>שחיקה בריווחיות מ-34% ל-31% ב-2013</t>
  </si>
  <si>
    <t>שחיקה ברווחיות מ-16% ל-14% ב-2012 ול-13% ב-2013. עם מחזור הכנסות גבוה מ-2011 רווח נמוך ב-1 מיליון ₪</t>
  </si>
  <si>
    <t>שחיקה מתמשכת מ-2011</t>
  </si>
  <si>
    <t>בשורה התחתונה ירידה מתמשכת ביתרת המזומנים.</t>
  </si>
  <si>
    <t xml:space="preserve">לקיחת הלוואה </t>
  </si>
  <si>
    <t>גידול ביחס ההתחייבויות להון</t>
  </si>
  <si>
    <t>למרות הגידול, עדין מינוף נמוך מאד.</t>
  </si>
  <si>
    <t>נמוך</t>
  </si>
  <si>
    <t>גבייה מהירה</t>
  </si>
  <si>
    <t>ירידה משמעותית</t>
  </si>
  <si>
    <t>גידול בעיקבות רכישת מקרקעין</t>
  </si>
  <si>
    <t>גידול בעקבות שינוי שיעורי המס</t>
  </si>
  <si>
    <t>התחייבויות תלויות:</t>
  </si>
  <si>
    <t>בחודש פברואר 2010 הוצאו לחברה שומות בצו לשנים 2004 ,2005 ו- 2006 בעקבות ביקורת ניכויים, לפיהן היא נדרשת לשלם סכום של כ- 335 אלפי ש"ח )לא כולל ריבית, הפרשי הצמדה וקנסות(. ביום 20 ביולי, 2012 התקבל פסק דין בבית המשפט המחוזי שבעקבותיו שילמה החברה שומה בסך של 447 אלפי ש"ח. ביום 20 לספטמבר, 2012 הגישה החברה ערעור על פסק הדין לבית המשפט העליון. דיון בבית המשפט העליון נקבע ליום 12 במרס, 2014.</t>
  </si>
  <si>
    <t>במהלך הרבעון השלישי לשנת 2012, הוגשו שני כתבי אישום נגד החברה ומנהלה על ידי משרד התמ"ת בגין העסקת נוער בשבת וביצוע שעות נוספות שלא כדין. ביום 14 במרס, 2013, הגישה החברה בקשות לעיכוב ההליכים בתיקים ליועץ המשפטי של משרד התמ"ת. בימים אלה, הצדדים מנהלים משא ומתן בניסיון להגיע להסדר מוסכם. על פי יועציה המשפטיים של החברה, קיימת אפשרות שבעקבות ניסיונות הצדדים להגיע להסדר יתייתרו ההליכים בתיק. להערכת הנהלת החברה ובהסתמך על חוות דעת יועציה המשפטיים, לאור השלב המקדמי בו מצויים כתבי האישום, אין ביכולתה של החברה להעריך את הסיכויים של כתבי האישום ולפיכך, לא רשמה הפרשה בדוחות הכספיים בגין כתבי האישום האמורים</t>
  </si>
  <si>
    <t>מכשירים פיננסיים:</t>
  </si>
  <si>
    <t>פעילויות הקבוצה חושפות אותה לסיכונים פיננסיים שונים, כגון סיכוני שוק )סיכון מטבע חוץ(, סיכון אשראי וסיכון נזילות. תוכנית ניהול הסיכונים הכוללת של הקבוצה מתמקדת בפעולות לצמצום למינימום השפעות שליליות אפשריות על הביצועים הפיננסיים של הקבוצה. הקבוצה משתמשת במכשירים פיננסיים נגזרים לגדר חשיפות מסוימות לסיכונים</t>
  </si>
  <si>
    <t>מבחני רגישות בגין שינוי בגורמי שוק בוצעו. שינוישל 10% בשערי המט"ח אינו מהותי ב-2013. שינוי במדד אינו משפיע כלל.</t>
  </si>
  <si>
    <t>ממוצע ימי אשראי לקוחות ליום 31.12.2013 הסתכם ב- 45 ימים לעומת ממוצע של 40 ימים ב-31.12.2012</t>
  </si>
  <si>
    <t>הון עצמי:</t>
  </si>
  <si>
    <t>סה"כ הון עצמי</t>
  </si>
  <si>
    <t>ירידה משמעותית - מצביע על קושי במימון חובות</t>
  </si>
  <si>
    <t>הקיטון נובע בעיקר משחיקת שער החליפין של הדולר ומקיטון בהכנסות פארק המים</t>
  </si>
  <si>
    <t>הקיטון ברווח התפעולי בשיעור %5 נובע מקיטון בהכנסות ומגידול בעלות ההפעלה</t>
  </si>
  <si>
    <t>הגידול בעלות ההפעלה נובע מעליה במחירי התשומות וגידול בהוצאות שכר</t>
  </si>
  <si>
    <t>ירידה למרות גידול בסכום הדיבידנד ששולם, בעקבות לקיחת הלוואה לז.ק.</t>
  </si>
  <si>
    <t>שיפוי לקבל מחב' הביטוח - מוצג בסעיף חייבים ויתרות חובה בנכסים שוטפים</t>
  </si>
  <si>
    <t>השינוי נובע מרווח השנה בסך של 6,381 אלפי ₪ בניכוי דיבידנד ששולם בסך 10,807 אלפי ₪.</t>
  </si>
  <si>
    <t>שינוי מול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</si>
</sst>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4" x14ac:knownFonts="1">
    <font>
      <sz val="11"/>
      <color theme="1"/>
      <name val="Arial"/>
      <family val="2"/>
      <scheme val="minor"/>
    </font>
    <font>
      <sz val="11"/>
      <color theme="1"/>
      <name val="Arial"/>
      <family val="2"/>
      <scheme val="minor"/>
    </font>
    <font>
      <b/>
      <sz val="11"/>
      <color theme="1"/>
      <name val="Arial"/>
      <family val="2"/>
      <scheme val="minor"/>
    </font>
    <font>
      <b/>
      <u/>
      <sz val="11"/>
      <color theme="1"/>
      <name val="Arial"/>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2" fillId="0" borderId="0" xfId="0" applyFont="1"/>
    <xf numFmtId="165" fontId="0" fillId="0" borderId="0" xfId="1" applyNumberFormat="1" applyFont="1"/>
    <xf numFmtId="165" fontId="0" fillId="0" borderId="1" xfId="1" applyNumberFormat="1" applyFont="1" applyBorder="1"/>
    <xf numFmtId="165" fontId="0" fillId="0" borderId="2" xfId="1" applyNumberFormat="1" applyFont="1" applyBorder="1"/>
    <xf numFmtId="165" fontId="0" fillId="0" borderId="0" xfId="0" applyNumberFormat="1"/>
    <xf numFmtId="165" fontId="0" fillId="0" borderId="2" xfId="0" applyNumberFormat="1" applyBorder="1"/>
    <xf numFmtId="0" fontId="0" fillId="0" borderId="0" xfId="0" applyAlignment="1">
      <alignment horizontal="center"/>
    </xf>
    <xf numFmtId="0" fontId="2" fillId="0" borderId="0" xfId="0" applyFont="1" applyAlignment="1">
      <alignment horizontal="right" readingOrder="2"/>
    </xf>
    <xf numFmtId="165" fontId="0" fillId="0" borderId="3" xfId="1" applyNumberFormat="1" applyFont="1" applyBorder="1"/>
    <xf numFmtId="0" fontId="0" fillId="0" borderId="0" xfId="0" applyAlignment="1">
      <alignment horizontal="right"/>
    </xf>
    <xf numFmtId="165" fontId="0" fillId="0" borderId="5" xfId="1" applyNumberFormat="1" applyFont="1" applyBorder="1"/>
    <xf numFmtId="9" fontId="0" fillId="0" borderId="0" xfId="2" applyFont="1"/>
    <xf numFmtId="0" fontId="0" fillId="0" borderId="9" xfId="0" applyBorder="1" applyAlignment="1">
      <alignment horizontal="center"/>
    </xf>
    <xf numFmtId="165" fontId="0" fillId="0" borderId="9" xfId="1" applyNumberFormat="1" applyFont="1" applyBorder="1"/>
    <xf numFmtId="9" fontId="0" fillId="0" borderId="0" xfId="2" applyFont="1" applyBorder="1"/>
    <xf numFmtId="165" fontId="0" fillId="0" borderId="0" xfId="0" applyNumberFormat="1" applyBorder="1"/>
    <xf numFmtId="9" fontId="0" fillId="0" borderId="10" xfId="2" applyFont="1" applyBorder="1"/>
    <xf numFmtId="165" fontId="0" fillId="0" borderId="11" xfId="1" applyNumberFormat="1" applyFont="1" applyBorder="1"/>
    <xf numFmtId="165" fontId="0" fillId="0" borderId="12" xfId="1" applyNumberFormat="1" applyFont="1" applyBorder="1"/>
    <xf numFmtId="9" fontId="0" fillId="0" borderId="14" xfId="2" applyFont="1" applyBorder="1"/>
    <xf numFmtId="165" fontId="0" fillId="0" borderId="14" xfId="0" applyNumberFormat="1" applyBorder="1"/>
    <xf numFmtId="9" fontId="0" fillId="0" borderId="15" xfId="2" applyFont="1" applyBorder="1"/>
    <xf numFmtId="0" fontId="2" fillId="0" borderId="0" xfId="0" applyFont="1" applyBorder="1" applyAlignment="1">
      <alignment horizontal="center" readingOrder="2"/>
    </xf>
    <xf numFmtId="0" fontId="2" fillId="0" borderId="9" xfId="0" applyFont="1" applyBorder="1" applyAlignment="1">
      <alignment horizontal="center"/>
    </xf>
    <xf numFmtId="0" fontId="2" fillId="0" borderId="0" xfId="0" applyFont="1" applyAlignment="1">
      <alignment horizontal="center"/>
    </xf>
    <xf numFmtId="0" fontId="2" fillId="0" borderId="0" xfId="0" applyFont="1" applyAlignment="1">
      <alignment horizontal="center" readingOrder="2"/>
    </xf>
    <xf numFmtId="0" fontId="0" fillId="0" borderId="0" xfId="0" applyAlignment="1"/>
    <xf numFmtId="0" fontId="2" fillId="0" borderId="0" xfId="0" applyFont="1" applyAlignment="1">
      <alignment horizontal="right"/>
    </xf>
    <xf numFmtId="164" fontId="0" fillId="0" borderId="0" xfId="0" applyNumberFormat="1"/>
    <xf numFmtId="165" fontId="0" fillId="0" borderId="8" xfId="1" applyNumberFormat="1" applyFont="1" applyBorder="1"/>
    <xf numFmtId="165" fontId="0" fillId="0" borderId="10" xfId="1" applyNumberFormat="1" applyFont="1" applyBorder="1"/>
    <xf numFmtId="0" fontId="0" fillId="0" borderId="10" xfId="0" applyBorder="1"/>
    <xf numFmtId="9" fontId="0" fillId="0" borderId="5" xfId="2" applyFont="1" applyBorder="1"/>
    <xf numFmtId="0" fontId="0" fillId="0" borderId="0" xfId="0" applyAlignment="1">
      <alignment horizontal="right" readingOrder="2"/>
    </xf>
    <xf numFmtId="0" fontId="0" fillId="0" borderId="0" xfId="0" applyFont="1" applyAlignment="1">
      <alignment horizontal="right" readingOrder="2"/>
    </xf>
    <xf numFmtId="9" fontId="2" fillId="0" borderId="0" xfId="2" applyFont="1"/>
    <xf numFmtId="164" fontId="0" fillId="0" borderId="0" xfId="1" applyFont="1"/>
    <xf numFmtId="165" fontId="2" fillId="0" borderId="9" xfId="1" applyNumberFormat="1" applyFont="1" applyBorder="1"/>
    <xf numFmtId="165" fontId="2" fillId="0" borderId="0" xfId="1" applyNumberFormat="1" applyFont="1"/>
    <xf numFmtId="9" fontId="2" fillId="0" borderId="0" xfId="2" applyFont="1" applyBorder="1"/>
    <xf numFmtId="0" fontId="3" fillId="0" borderId="0" xfId="0" applyFont="1"/>
    <xf numFmtId="0" fontId="0" fillId="0" borderId="0" xfId="0" applyAlignment="1">
      <alignment wrapText="1"/>
    </xf>
    <xf numFmtId="165" fontId="2" fillId="0" borderId="11" xfId="1" applyNumberFormat="1" applyFont="1" applyBorder="1"/>
    <xf numFmtId="0" fontId="2" fillId="0" borderId="0" xfId="0" applyFont="1" applyAlignment="1"/>
    <xf numFmtId="165" fontId="2" fillId="0" borderId="13" xfId="1" applyNumberFormat="1" applyFont="1" applyBorder="1"/>
    <xf numFmtId="165" fontId="2" fillId="0" borderId="4" xfId="1" applyNumberFormat="1" applyFont="1" applyBorder="1"/>
    <xf numFmtId="0" fontId="0" fillId="0" borderId="0" xfId="0" applyAlignment="1">
      <alignment horizontal="center" wrapText="1"/>
    </xf>
    <xf numFmtId="0" fontId="0" fillId="0" borderId="0" xfId="0" applyAlignment="1">
      <alignment horizontal="center" vertical="center"/>
    </xf>
    <xf numFmtId="0" fontId="0" fillId="2" borderId="0" xfId="0" applyFill="1" applyAlignment="1">
      <alignment horizontal="center"/>
    </xf>
    <xf numFmtId="9" fontId="0" fillId="0" borderId="0" xfId="2" applyFont="1" applyAlignment="1">
      <alignment horizontal="center" wrapText="1"/>
    </xf>
    <xf numFmtId="0" fontId="2" fillId="0" borderId="9"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readingOrder="2"/>
    </xf>
    <xf numFmtId="10" fontId="0" fillId="0" borderId="0" xfId="0" applyNumberFormat="1" applyAlignment="1">
      <alignment horizontal="center"/>
    </xf>
    <xf numFmtId="0" fontId="0" fillId="0" borderId="0" xfId="0"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rightToLeft="1" workbookViewId="0">
      <selection activeCell="H12" sqref="H12"/>
    </sheetView>
  </sheetViews>
  <sheetFormatPr defaultRowHeight="14.25" x14ac:dyDescent="0.2"/>
  <cols>
    <col min="1" max="1" width="24.375" customWidth="1"/>
    <col min="2" max="2" width="10.75" bestFit="1" customWidth="1"/>
    <col min="3" max="3" width="8.75" bestFit="1" customWidth="1"/>
    <col min="6" max="6" width="9.625" customWidth="1"/>
    <col min="8" max="8" width="10.125" customWidth="1"/>
    <col min="9" max="9" width="10" customWidth="1"/>
  </cols>
  <sheetData>
    <row r="1" spans="1:9" x14ac:dyDescent="0.2">
      <c r="A1" t="s">
        <v>11</v>
      </c>
    </row>
    <row r="2" spans="1:9" x14ac:dyDescent="0.2">
      <c r="B2" s="48" t="s">
        <v>81</v>
      </c>
      <c r="C2" s="48"/>
      <c r="D2" s="48" t="s">
        <v>8</v>
      </c>
      <c r="E2" s="48"/>
      <c r="F2" s="49" t="s">
        <v>80</v>
      </c>
      <c r="G2" s="49"/>
    </row>
    <row r="3" spans="1:9" x14ac:dyDescent="0.2">
      <c r="B3" t="s">
        <v>52</v>
      </c>
      <c r="C3" s="34" t="s">
        <v>51</v>
      </c>
      <c r="D3" t="s">
        <v>52</v>
      </c>
      <c r="E3" s="34" t="s">
        <v>51</v>
      </c>
      <c r="F3" t="s">
        <v>52</v>
      </c>
      <c r="G3" t="s">
        <v>53</v>
      </c>
    </row>
    <row r="4" spans="1:9" x14ac:dyDescent="0.2">
      <c r="A4" t="s">
        <v>0</v>
      </c>
    </row>
    <row r="5" spans="1:9" ht="15" x14ac:dyDescent="0.25">
      <c r="A5" s="1" t="s">
        <v>9</v>
      </c>
    </row>
    <row r="6" spans="1:9" x14ac:dyDescent="0.2">
      <c r="A6" t="s">
        <v>1</v>
      </c>
      <c r="B6" s="2">
        <v>90</v>
      </c>
      <c r="C6" s="12">
        <f t="shared" ref="C6:C12" si="0">B6/B$17</f>
        <v>1.7033518178549123E-3</v>
      </c>
      <c r="D6" s="2">
        <v>4084</v>
      </c>
      <c r="E6" s="12">
        <f t="shared" ref="E6:E12" si="1">D6/D$17</f>
        <v>7.5328316364172934E-2</v>
      </c>
      <c r="F6" s="5">
        <f t="shared" ref="F6:F12" si="2">B6-D6</f>
        <v>-3994</v>
      </c>
      <c r="G6" s="12">
        <f>F6/D6</f>
        <v>-0.97796278158667971</v>
      </c>
    </row>
    <row r="7" spans="1:9" x14ac:dyDescent="0.2">
      <c r="A7" t="s">
        <v>82</v>
      </c>
      <c r="B7" s="2">
        <v>5398</v>
      </c>
      <c r="C7" s="12">
        <f t="shared" si="0"/>
        <v>0.10216325680867575</v>
      </c>
      <c r="D7" s="2">
        <v>4867</v>
      </c>
      <c r="E7" s="12">
        <f t="shared" si="1"/>
        <v>8.9770547439870146E-2</v>
      </c>
      <c r="F7" s="5">
        <f t="shared" si="2"/>
        <v>531</v>
      </c>
      <c r="G7" s="12">
        <f t="shared" ref="G7:G38" si="3">F7/D7</f>
        <v>0.10910211629340456</v>
      </c>
      <c r="H7" t="s">
        <v>111</v>
      </c>
    </row>
    <row r="8" spans="1:9" x14ac:dyDescent="0.2">
      <c r="A8" t="s">
        <v>2</v>
      </c>
      <c r="B8" s="2">
        <v>1594</v>
      </c>
      <c r="C8" s="12">
        <f t="shared" si="0"/>
        <v>3.0168253307341446E-2</v>
      </c>
      <c r="D8" s="2">
        <v>888</v>
      </c>
      <c r="E8" s="12">
        <f t="shared" si="1"/>
        <v>1.637892872952634E-2</v>
      </c>
      <c r="F8" s="5">
        <f t="shared" si="2"/>
        <v>706</v>
      </c>
      <c r="G8" s="12">
        <f t="shared" si="3"/>
        <v>0.79504504504504503</v>
      </c>
    </row>
    <row r="9" spans="1:9" x14ac:dyDescent="0.2">
      <c r="A9" t="s">
        <v>3</v>
      </c>
      <c r="B9" s="2">
        <v>1109</v>
      </c>
      <c r="C9" s="12">
        <f t="shared" si="0"/>
        <v>2.0989079622234418E-2</v>
      </c>
      <c r="D9" s="2">
        <v>1119</v>
      </c>
      <c r="E9" s="12">
        <f t="shared" si="1"/>
        <v>2.0639663567950422E-2</v>
      </c>
      <c r="F9" s="5">
        <f t="shared" si="2"/>
        <v>-10</v>
      </c>
      <c r="G9" s="12">
        <f t="shared" ref="G9" si="4">F9/D9</f>
        <v>-8.9365504915102766E-3</v>
      </c>
    </row>
    <row r="10" spans="1:9" x14ac:dyDescent="0.2">
      <c r="A10" t="s">
        <v>83</v>
      </c>
      <c r="B10" s="2">
        <v>61</v>
      </c>
      <c r="C10" s="12">
        <f t="shared" si="0"/>
        <v>1.1544940098794406E-3</v>
      </c>
      <c r="D10" s="2">
        <v>257</v>
      </c>
      <c r="E10" s="12">
        <f t="shared" si="1"/>
        <v>4.740298066991294E-3</v>
      </c>
      <c r="F10" s="5">
        <f t="shared" si="2"/>
        <v>-196</v>
      </c>
      <c r="G10" s="12">
        <f t="shared" si="3"/>
        <v>-0.76264591439688711</v>
      </c>
    </row>
    <row r="11" spans="1:9" x14ac:dyDescent="0.2">
      <c r="A11" t="s">
        <v>84</v>
      </c>
      <c r="B11" s="2">
        <v>352</v>
      </c>
      <c r="C11" s="12">
        <f t="shared" si="0"/>
        <v>6.6619982209436572E-3</v>
      </c>
      <c r="D11" s="2"/>
      <c r="E11" s="12">
        <f t="shared" si="1"/>
        <v>0</v>
      </c>
      <c r="F11" s="5">
        <f t="shared" si="2"/>
        <v>352</v>
      </c>
      <c r="G11" s="12">
        <v>1</v>
      </c>
      <c r="H11" s="47"/>
      <c r="I11" s="47"/>
    </row>
    <row r="12" spans="1:9" ht="15" x14ac:dyDescent="0.25">
      <c r="A12" s="1" t="s">
        <v>4</v>
      </c>
      <c r="B12" s="3">
        <f>SUM(B6:B11)</f>
        <v>8604</v>
      </c>
      <c r="C12" s="12">
        <f t="shared" si="0"/>
        <v>0.16284043378692961</v>
      </c>
      <c r="D12" s="3">
        <f>SUM(D6:D11)</f>
        <v>11215</v>
      </c>
      <c r="E12" s="12">
        <f t="shared" si="1"/>
        <v>0.20685775416851115</v>
      </c>
      <c r="F12" s="5">
        <f t="shared" si="2"/>
        <v>-2611</v>
      </c>
      <c r="G12" s="12">
        <f t="shared" si="3"/>
        <v>-0.23281319661168079</v>
      </c>
    </row>
    <row r="13" spans="1:9" ht="15" x14ac:dyDescent="0.25">
      <c r="A13" s="1" t="s">
        <v>10</v>
      </c>
      <c r="B13" s="2"/>
      <c r="C13" s="12"/>
      <c r="D13" s="2"/>
      <c r="E13" s="12"/>
      <c r="F13" s="5"/>
      <c r="G13" s="12"/>
    </row>
    <row r="14" spans="1:9" x14ac:dyDescent="0.2">
      <c r="A14" t="s">
        <v>5</v>
      </c>
      <c r="B14" s="2">
        <v>43907</v>
      </c>
      <c r="C14" s="12">
        <f>B14/B$17</f>
        <v>0.83098964740617376</v>
      </c>
      <c r="D14" s="2">
        <v>42731</v>
      </c>
      <c r="E14" s="12">
        <f>D14/D$17</f>
        <v>0.78816216615021395</v>
      </c>
      <c r="F14" s="5">
        <f>B14-D14</f>
        <v>1176</v>
      </c>
      <c r="G14" s="12">
        <f t="shared" si="3"/>
        <v>2.7521003486929863E-2</v>
      </c>
      <c r="H14" s="47"/>
      <c r="I14" s="47"/>
    </row>
    <row r="15" spans="1:9" x14ac:dyDescent="0.2">
      <c r="A15" t="s">
        <v>85</v>
      </c>
      <c r="B15" s="2">
        <v>326</v>
      </c>
      <c r="C15" s="12">
        <f>B15/B$17</f>
        <v>6.1699188068966822E-3</v>
      </c>
      <c r="D15" s="2">
        <v>270</v>
      </c>
      <c r="E15" s="12">
        <f>D15/D$17</f>
        <v>4.9800796812749003E-3</v>
      </c>
      <c r="F15" s="5">
        <f>B15-D15</f>
        <v>56</v>
      </c>
      <c r="G15" s="12">
        <f t="shared" si="3"/>
        <v>0.2074074074074074</v>
      </c>
    </row>
    <row r="16" spans="1:9" ht="15" x14ac:dyDescent="0.25">
      <c r="A16" s="1" t="s">
        <v>6</v>
      </c>
      <c r="B16" s="3">
        <f>SUM(B14:B15)</f>
        <v>44233</v>
      </c>
      <c r="C16" s="12">
        <f>B16/B$17</f>
        <v>0.83715956621307042</v>
      </c>
      <c r="D16" s="3">
        <f>SUM(D14:D15)</f>
        <v>43001</v>
      </c>
      <c r="E16" s="12">
        <f>D16/D$17</f>
        <v>0.79314224583148885</v>
      </c>
      <c r="F16" s="5">
        <f>B16-D16</f>
        <v>1232</v>
      </c>
      <c r="G16" s="12">
        <f t="shared" si="3"/>
        <v>2.8650496500081394E-2</v>
      </c>
    </row>
    <row r="17" spans="1:9" ht="15.75" thickBot="1" x14ac:dyDescent="0.3">
      <c r="A17" s="1" t="s">
        <v>7</v>
      </c>
      <c r="B17" s="4">
        <f>B12+B16</f>
        <v>52837</v>
      </c>
      <c r="C17" s="12">
        <f>B17/B$17</f>
        <v>1</v>
      </c>
      <c r="D17" s="4">
        <f>D12+D16</f>
        <v>54216</v>
      </c>
      <c r="E17" s="12">
        <f>D17/D$17</f>
        <v>1</v>
      </c>
      <c r="F17" s="5">
        <f>B17-D17</f>
        <v>-1379</v>
      </c>
      <c r="G17" s="12">
        <f t="shared" si="3"/>
        <v>-2.5435295853622548E-2</v>
      </c>
    </row>
    <row r="18" spans="1:9" ht="15" thickTop="1" x14ac:dyDescent="0.2">
      <c r="G18" s="12"/>
    </row>
    <row r="19" spans="1:9" ht="15" x14ac:dyDescent="0.25">
      <c r="A19" s="1" t="s">
        <v>12</v>
      </c>
      <c r="G19" s="12"/>
    </row>
    <row r="20" spans="1:9" ht="15" x14ac:dyDescent="0.25">
      <c r="A20" s="1" t="s">
        <v>39</v>
      </c>
      <c r="G20" s="12"/>
    </row>
    <row r="21" spans="1:9" ht="15" x14ac:dyDescent="0.25">
      <c r="A21" t="s">
        <v>23</v>
      </c>
      <c r="B21" s="2">
        <v>2953</v>
      </c>
      <c r="C21" s="36">
        <f t="shared" ref="C21:E38" si="5">B21/B$17</f>
        <v>5.5888865756950623E-2</v>
      </c>
      <c r="D21" s="2"/>
      <c r="E21" s="12">
        <f t="shared" si="5"/>
        <v>0</v>
      </c>
      <c r="F21" s="5">
        <f>B21-D21</f>
        <v>2953</v>
      </c>
      <c r="G21" s="12">
        <v>1</v>
      </c>
      <c r="H21" s="47" t="s">
        <v>97</v>
      </c>
      <c r="I21" s="47"/>
    </row>
    <row r="22" spans="1:9" x14ac:dyDescent="0.2">
      <c r="A22" t="s">
        <v>13</v>
      </c>
      <c r="B22" s="2">
        <v>2647</v>
      </c>
      <c r="C22" s="12">
        <f t="shared" si="5"/>
        <v>5.0097469576243919E-2</v>
      </c>
      <c r="D22" s="2">
        <v>2482</v>
      </c>
      <c r="E22" s="12">
        <f t="shared" si="5"/>
        <v>4.5779843588608531E-2</v>
      </c>
      <c r="F22" s="5">
        <f>B22-D22</f>
        <v>165</v>
      </c>
      <c r="G22" s="12">
        <f t="shared" si="3"/>
        <v>6.6478646253021759E-2</v>
      </c>
    </row>
    <row r="23" spans="1:9" x14ac:dyDescent="0.2">
      <c r="A23" t="s">
        <v>14</v>
      </c>
      <c r="B23" s="2">
        <v>3610</v>
      </c>
      <c r="C23" s="12">
        <f t="shared" si="5"/>
        <v>6.8323334027291488E-2</v>
      </c>
      <c r="D23" s="2">
        <v>4035</v>
      </c>
      <c r="E23" s="12">
        <f t="shared" si="5"/>
        <v>7.4424524125719344E-2</v>
      </c>
      <c r="F23" s="5">
        <f>B23-D23</f>
        <v>-425</v>
      </c>
      <c r="G23" s="12">
        <f t="shared" si="3"/>
        <v>-0.10532837670384139</v>
      </c>
      <c r="H23" s="50"/>
      <c r="I23" s="50"/>
    </row>
    <row r="24" spans="1:9" x14ac:dyDescent="0.2">
      <c r="A24" t="s">
        <v>86</v>
      </c>
      <c r="B24" s="2">
        <v>164</v>
      </c>
      <c r="C24" s="12">
        <f t="shared" si="5"/>
        <v>3.1038855347578402E-3</v>
      </c>
      <c r="D24" s="2">
        <v>93</v>
      </c>
      <c r="E24" s="12">
        <f t="shared" si="5"/>
        <v>1.7153607791057989E-3</v>
      </c>
      <c r="F24" s="5">
        <f>B24-D24</f>
        <v>71</v>
      </c>
      <c r="G24" s="12">
        <f t="shared" si="3"/>
        <v>0.76344086021505375</v>
      </c>
      <c r="H24" t="s">
        <v>119</v>
      </c>
    </row>
    <row r="25" spans="1:9" ht="15" x14ac:dyDescent="0.25">
      <c r="A25" s="1" t="s">
        <v>15</v>
      </c>
      <c r="B25" s="3">
        <f>SUM(B21:B24)</f>
        <v>9374</v>
      </c>
      <c r="C25" s="36">
        <f t="shared" si="5"/>
        <v>0.17741355489524385</v>
      </c>
      <c r="D25" s="3">
        <f>SUM(D21:D24)</f>
        <v>6610</v>
      </c>
      <c r="E25" s="12">
        <f t="shared" si="5"/>
        <v>0.12191972849343367</v>
      </c>
      <c r="F25" s="5">
        <f>B25-D25</f>
        <v>2764</v>
      </c>
      <c r="G25" s="12">
        <f t="shared" si="3"/>
        <v>0.41815431164901662</v>
      </c>
    </row>
    <row r="26" spans="1:9" ht="15" x14ac:dyDescent="0.25">
      <c r="A26" s="1" t="s">
        <v>40</v>
      </c>
      <c r="B26" s="2"/>
      <c r="C26" s="12"/>
      <c r="D26" s="2"/>
      <c r="E26" s="12"/>
      <c r="F26" s="5"/>
      <c r="G26" s="12"/>
    </row>
    <row r="27" spans="1:9" x14ac:dyDescent="0.2">
      <c r="A27" t="s">
        <v>17</v>
      </c>
      <c r="B27" s="2">
        <v>1229</v>
      </c>
      <c r="C27" s="12">
        <f t="shared" si="5"/>
        <v>2.3260215379374304E-2</v>
      </c>
      <c r="D27" s="2">
        <v>1078</v>
      </c>
      <c r="E27" s="12">
        <f t="shared" si="5"/>
        <v>1.9883429245979047E-2</v>
      </c>
      <c r="F27" s="5">
        <f>B27-D27</f>
        <v>151</v>
      </c>
      <c r="G27" s="12">
        <f t="shared" si="3"/>
        <v>0.14007421150278293</v>
      </c>
    </row>
    <row r="28" spans="1:9" x14ac:dyDescent="0.2">
      <c r="A28" t="s">
        <v>16</v>
      </c>
      <c r="B28" s="2">
        <v>139</v>
      </c>
      <c r="C28" s="12">
        <f t="shared" si="5"/>
        <v>2.6307322520203644E-3</v>
      </c>
      <c r="D28" s="2">
        <v>50</v>
      </c>
      <c r="E28" s="12">
        <f t="shared" si="5"/>
        <v>9.2223697801387041E-4</v>
      </c>
      <c r="F28" s="5">
        <f>B28-D28</f>
        <v>89</v>
      </c>
      <c r="G28" s="12">
        <f t="shared" si="3"/>
        <v>1.78</v>
      </c>
    </row>
    <row r="29" spans="1:9" x14ac:dyDescent="0.2">
      <c r="A29" t="s">
        <v>85</v>
      </c>
      <c r="B29" s="2">
        <v>6752</v>
      </c>
      <c r="C29" s="12">
        <f t="shared" si="5"/>
        <v>0.12778923860173741</v>
      </c>
      <c r="D29" s="2">
        <v>6709</v>
      </c>
      <c r="E29" s="12">
        <f t="shared" si="5"/>
        <v>0.12374575770990114</v>
      </c>
      <c r="F29" s="5">
        <f>B29-D29</f>
        <v>43</v>
      </c>
      <c r="G29" s="12">
        <f t="shared" si="3"/>
        <v>6.4093009390371143E-3</v>
      </c>
      <c r="H29" t="s">
        <v>104</v>
      </c>
    </row>
    <row r="30" spans="1:9" ht="15" x14ac:dyDescent="0.25">
      <c r="A30" s="1" t="s">
        <v>18</v>
      </c>
      <c r="B30" s="3">
        <f>SUM(B27:B29)</f>
        <v>8120</v>
      </c>
      <c r="C30" s="36">
        <f t="shared" si="5"/>
        <v>0.15368018623313209</v>
      </c>
      <c r="D30" s="3">
        <f>SUM(D27:D29)</f>
        <v>7837</v>
      </c>
      <c r="E30" s="12">
        <f t="shared" si="5"/>
        <v>0.14455142393389406</v>
      </c>
      <c r="F30" s="5">
        <f>B30-D30</f>
        <v>283</v>
      </c>
      <c r="G30" s="12">
        <f t="shared" si="3"/>
        <v>3.6110756667092E-2</v>
      </c>
    </row>
    <row r="31" spans="1:9" ht="15" x14ac:dyDescent="0.25">
      <c r="A31" s="1" t="s">
        <v>112</v>
      </c>
      <c r="B31" s="2"/>
      <c r="C31" s="12"/>
      <c r="D31" s="2"/>
      <c r="E31" s="12"/>
      <c r="F31" s="5"/>
      <c r="G31" s="12"/>
    </row>
    <row r="32" spans="1:9" x14ac:dyDescent="0.2">
      <c r="A32" t="s">
        <v>19</v>
      </c>
      <c r="B32" s="2">
        <v>13899</v>
      </c>
      <c r="C32" s="12">
        <f t="shared" si="5"/>
        <v>0.26305429907072697</v>
      </c>
      <c r="D32" s="2">
        <v>13899</v>
      </c>
      <c r="E32" s="12">
        <f t="shared" si="5"/>
        <v>0.25636343514829568</v>
      </c>
      <c r="F32" s="5">
        <f t="shared" ref="F32:F37" si="6">B32-D32</f>
        <v>0</v>
      </c>
      <c r="G32" s="12">
        <f t="shared" si="3"/>
        <v>0</v>
      </c>
    </row>
    <row r="33" spans="1:9" x14ac:dyDescent="0.2">
      <c r="A33" t="s">
        <v>20</v>
      </c>
      <c r="B33" s="2">
        <v>13485</v>
      </c>
      <c r="C33" s="12">
        <f t="shared" si="5"/>
        <v>0.25521888070859433</v>
      </c>
      <c r="D33" s="2">
        <v>13485</v>
      </c>
      <c r="E33" s="12">
        <f t="shared" si="5"/>
        <v>0.24872731297034087</v>
      </c>
      <c r="F33" s="5">
        <f t="shared" si="6"/>
        <v>0</v>
      </c>
      <c r="G33" s="12">
        <f t="shared" si="3"/>
        <v>0</v>
      </c>
    </row>
    <row r="34" spans="1:9" x14ac:dyDescent="0.2">
      <c r="A34" t="s">
        <v>87</v>
      </c>
      <c r="B34" s="2">
        <v>-1744</v>
      </c>
      <c r="C34" s="12">
        <f t="shared" si="5"/>
        <v>-3.3007173003766301E-2</v>
      </c>
      <c r="D34" s="2">
        <v>-1744</v>
      </c>
      <c r="E34" s="12">
        <f t="shared" si="5"/>
        <v>-3.2167625793123801E-2</v>
      </c>
      <c r="F34" s="5">
        <f t="shared" si="6"/>
        <v>0</v>
      </c>
      <c r="G34" s="12">
        <f t="shared" si="3"/>
        <v>0</v>
      </c>
    </row>
    <row r="35" spans="1:9" x14ac:dyDescent="0.2">
      <c r="A35" t="s">
        <v>21</v>
      </c>
      <c r="B35" s="2">
        <v>2994</v>
      </c>
      <c r="C35" s="12">
        <f t="shared" si="5"/>
        <v>5.6664837140640079E-2</v>
      </c>
      <c r="D35" s="2">
        <v>2994</v>
      </c>
      <c r="E35" s="12">
        <f t="shared" si="5"/>
        <v>5.5223550243470559E-2</v>
      </c>
      <c r="F35" s="5">
        <f t="shared" si="6"/>
        <v>0</v>
      </c>
      <c r="G35" s="12">
        <f t="shared" si="3"/>
        <v>0</v>
      </c>
    </row>
    <row r="36" spans="1:9" x14ac:dyDescent="0.2">
      <c r="A36" t="s">
        <v>88</v>
      </c>
      <c r="B36" s="2">
        <v>6709</v>
      </c>
      <c r="C36" s="12">
        <f t="shared" si="5"/>
        <v>0.12697541495542897</v>
      </c>
      <c r="D36" s="2">
        <v>11135</v>
      </c>
      <c r="E36" s="12">
        <f t="shared" si="5"/>
        <v>0.20538217500368894</v>
      </c>
      <c r="F36" s="5">
        <f t="shared" si="6"/>
        <v>-4426</v>
      </c>
      <c r="G36" s="12">
        <f t="shared" si="3"/>
        <v>-0.39748540637629098</v>
      </c>
    </row>
    <row r="37" spans="1:9" ht="15" x14ac:dyDescent="0.25">
      <c r="A37" s="1" t="s">
        <v>113</v>
      </c>
      <c r="B37" s="3">
        <f>SUM(B32:B36)</f>
        <v>35343</v>
      </c>
      <c r="C37" s="12">
        <f t="shared" si="5"/>
        <v>0.66890625887162403</v>
      </c>
      <c r="D37" s="3">
        <f>SUM(D32:D36)</f>
        <v>39769</v>
      </c>
      <c r="E37" s="12">
        <f t="shared" si="5"/>
        <v>0.73352884757267223</v>
      </c>
      <c r="F37" s="5">
        <f t="shared" si="6"/>
        <v>-4426</v>
      </c>
      <c r="G37" s="12">
        <f t="shared" si="3"/>
        <v>-0.11129271543161759</v>
      </c>
      <c r="H37" t="s">
        <v>120</v>
      </c>
    </row>
    <row r="38" spans="1:9" ht="15.75" thickBot="1" x14ac:dyDescent="0.3">
      <c r="A38" s="1" t="s">
        <v>22</v>
      </c>
      <c r="B38" s="6">
        <f>B37+B30+B25</f>
        <v>52837</v>
      </c>
      <c r="C38" s="12">
        <f t="shared" si="5"/>
        <v>1</v>
      </c>
      <c r="D38" s="6">
        <f>D37+D30+D25</f>
        <v>54216</v>
      </c>
      <c r="E38" s="12">
        <f t="shared" si="5"/>
        <v>1</v>
      </c>
      <c r="F38" s="6">
        <f>F37+F30+F25</f>
        <v>-1379</v>
      </c>
      <c r="G38" s="12">
        <f t="shared" si="3"/>
        <v>-2.5435295853622548E-2</v>
      </c>
    </row>
    <row r="39" spans="1:9" ht="15" thickTop="1" x14ac:dyDescent="0.2">
      <c r="B39" s="5">
        <f>B17-B38</f>
        <v>0</v>
      </c>
      <c r="C39" s="5"/>
      <c r="D39" s="5">
        <f>D17-D38</f>
        <v>0</v>
      </c>
    </row>
    <row r="40" spans="1:9" x14ac:dyDescent="0.2">
      <c r="A40" s="35" t="s">
        <v>63</v>
      </c>
      <c r="B40" s="12">
        <f>B25/B37</f>
        <v>0.26522932405285349</v>
      </c>
      <c r="D40" s="12">
        <f>D25/D37</f>
        <v>0.16620986195277729</v>
      </c>
      <c r="F40" s="12" t="s">
        <v>98</v>
      </c>
    </row>
    <row r="41" spans="1:9" x14ac:dyDescent="0.2">
      <c r="A41" s="35" t="s">
        <v>64</v>
      </c>
      <c r="B41" s="12">
        <f>B30/B37</f>
        <v>0.2297484650425827</v>
      </c>
      <c r="D41" s="12">
        <f>D30/D37</f>
        <v>0.19706303905051673</v>
      </c>
      <c r="F41" s="12" t="s">
        <v>98</v>
      </c>
    </row>
    <row r="42" spans="1:9" ht="15" x14ac:dyDescent="0.25">
      <c r="A42" s="8" t="s">
        <v>65</v>
      </c>
      <c r="B42" s="12">
        <f>(B25+B30)/B37</f>
        <v>0.49497778909543616</v>
      </c>
      <c r="D42" s="12">
        <f>(D25+D30)/D37</f>
        <v>0.36327290100329401</v>
      </c>
      <c r="F42" s="12" t="s">
        <v>98</v>
      </c>
    </row>
    <row r="43" spans="1:9" ht="15" x14ac:dyDescent="0.25">
      <c r="A43" s="8" t="s">
        <v>67</v>
      </c>
      <c r="B43" s="12">
        <f>B30/(B37+B30)</f>
        <v>0.18682557577709777</v>
      </c>
      <c r="D43" s="12">
        <f>D30/(D37+D30)</f>
        <v>0.16462210645716926</v>
      </c>
      <c r="F43" s="12"/>
    </row>
    <row r="44" spans="1:9" ht="15" x14ac:dyDescent="0.25">
      <c r="A44" s="1" t="s">
        <v>66</v>
      </c>
      <c r="B44" s="12">
        <f>(B21)/B38</f>
        <v>5.5888865756950623E-2</v>
      </c>
      <c r="D44" s="12">
        <f>(D21)/D38</f>
        <v>0</v>
      </c>
      <c r="F44" s="12" t="s">
        <v>99</v>
      </c>
    </row>
    <row r="45" spans="1:9" ht="15" x14ac:dyDescent="0.25">
      <c r="A45" s="1" t="s">
        <v>74</v>
      </c>
      <c r="B45" s="12"/>
      <c r="D45" s="12"/>
    </row>
    <row r="46" spans="1:9" x14ac:dyDescent="0.2">
      <c r="A46" t="s">
        <v>68</v>
      </c>
      <c r="B46" s="12">
        <f>B7/IS!B4</f>
        <v>0.11138853923773756</v>
      </c>
      <c r="D46" s="12">
        <f>D7/IS!F4</f>
        <v>9.8700087201638573E-2</v>
      </c>
      <c r="F46" s="12" t="s">
        <v>100</v>
      </c>
    </row>
    <row r="47" spans="1:9" x14ac:dyDescent="0.2">
      <c r="A47" t="s">
        <v>75</v>
      </c>
      <c r="B47" s="12">
        <f>IS!B4/B7</f>
        <v>8.9775842904779548</v>
      </c>
      <c r="D47" s="12">
        <f>IS!F4/D7</f>
        <v>10.131703307992604</v>
      </c>
      <c r="F47" t="s">
        <v>101</v>
      </c>
      <c r="H47" s="47"/>
      <c r="I47" s="47"/>
    </row>
    <row r="48" spans="1:9" x14ac:dyDescent="0.2">
      <c r="A48" t="s">
        <v>69</v>
      </c>
      <c r="B48" s="12">
        <f>B9/IS!B5</f>
        <v>3.293733293733294E-2</v>
      </c>
      <c r="D48" s="12">
        <f>D9/IS!F5</f>
        <v>3.4404304381245199E-2</v>
      </c>
      <c r="F48" t="s">
        <v>100</v>
      </c>
    </row>
    <row r="49" spans="1:9" ht="15" x14ac:dyDescent="0.25">
      <c r="A49" s="1" t="s">
        <v>72</v>
      </c>
    </row>
    <row r="50" spans="1:9" x14ac:dyDescent="0.2">
      <c r="A50" t="s">
        <v>70</v>
      </c>
      <c r="B50" s="37">
        <f>B12/B25</f>
        <v>0.9178579048431833</v>
      </c>
      <c r="D50" s="37">
        <f>D12/D25</f>
        <v>1.6966717095310135</v>
      </c>
      <c r="F50" s="27" t="s">
        <v>102</v>
      </c>
      <c r="G50" s="42"/>
      <c r="H50" s="42"/>
      <c r="I50" s="42"/>
    </row>
    <row r="51" spans="1:9" x14ac:dyDescent="0.2">
      <c r="A51" t="s">
        <v>71</v>
      </c>
      <c r="B51" s="29">
        <f>(B12-B9)/B25</f>
        <v>0.79955195220823549</v>
      </c>
      <c r="D51" s="29">
        <f>(D12-D9)/D25</f>
        <v>1.5273827534039335</v>
      </c>
      <c r="F51" s="27" t="s">
        <v>102</v>
      </c>
    </row>
    <row r="52" spans="1:9" x14ac:dyDescent="0.2">
      <c r="A52" t="s">
        <v>73</v>
      </c>
      <c r="B52" s="5">
        <f>B12-B25</f>
        <v>-770</v>
      </c>
      <c r="D52" s="5">
        <f>D12-D25</f>
        <v>4605</v>
      </c>
      <c r="F52" s="27" t="s">
        <v>114</v>
      </c>
    </row>
    <row r="54" spans="1:9" x14ac:dyDescent="0.2">
      <c r="A54" t="s">
        <v>105</v>
      </c>
    </row>
    <row r="55" spans="1:9" ht="58.9" customHeight="1" x14ac:dyDescent="0.2">
      <c r="A55" s="47" t="s">
        <v>106</v>
      </c>
      <c r="B55" s="47"/>
      <c r="C55" s="47"/>
      <c r="D55" s="47"/>
      <c r="E55" s="47"/>
      <c r="F55" s="47"/>
      <c r="G55" s="47"/>
      <c r="H55" s="47"/>
      <c r="I55" s="47"/>
    </row>
    <row r="56" spans="1:9" ht="91.5" customHeight="1" x14ac:dyDescent="0.2">
      <c r="A56" s="47" t="s">
        <v>107</v>
      </c>
      <c r="B56" s="47"/>
      <c r="C56" s="47"/>
      <c r="D56" s="47"/>
      <c r="E56" s="47"/>
      <c r="F56" s="47"/>
      <c r="G56" s="47"/>
      <c r="H56" s="47"/>
      <c r="I56" s="47"/>
    </row>
    <row r="57" spans="1:9" x14ac:dyDescent="0.2">
      <c r="A57" t="s">
        <v>108</v>
      </c>
    </row>
    <row r="58" spans="1:9" ht="44.1" customHeight="1" x14ac:dyDescent="0.2">
      <c r="A58" s="47" t="s">
        <v>109</v>
      </c>
      <c r="B58" s="47"/>
      <c r="C58" s="47"/>
      <c r="D58" s="47"/>
      <c r="E58" s="47"/>
      <c r="F58" s="47"/>
      <c r="G58" s="47"/>
      <c r="H58" s="47"/>
      <c r="I58" s="47"/>
    </row>
    <row r="59" spans="1:9" x14ac:dyDescent="0.2">
      <c r="A59" t="s">
        <v>110</v>
      </c>
    </row>
  </sheetData>
  <mergeCells count="11">
    <mergeCell ref="A55:I55"/>
    <mergeCell ref="A56:I56"/>
    <mergeCell ref="A58:I58"/>
    <mergeCell ref="B2:C2"/>
    <mergeCell ref="D2:E2"/>
    <mergeCell ref="F2:G2"/>
    <mergeCell ref="H47:I47"/>
    <mergeCell ref="H21:I21"/>
    <mergeCell ref="H23:I23"/>
    <mergeCell ref="H11:I11"/>
    <mergeCell ref="H14:I14"/>
  </mergeCells>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rightToLeft="1" workbookViewId="0">
      <selection activeCell="C11" sqref="C11"/>
    </sheetView>
  </sheetViews>
  <sheetFormatPr defaultRowHeight="14.25" x14ac:dyDescent="0.2"/>
  <cols>
    <col min="1" max="1" width="22.375" bestFit="1" customWidth="1"/>
    <col min="2" max="2" width="10.75" bestFit="1" customWidth="1"/>
    <col min="3" max="3" width="9.25" bestFit="1" customWidth="1"/>
    <col min="4" max="4" width="11.375" customWidth="1"/>
    <col min="5" max="5" width="11.75" bestFit="1" customWidth="1"/>
    <col min="7" max="7" width="9.25" bestFit="1" customWidth="1"/>
    <col min="8" max="8" width="9.25" customWidth="1"/>
    <col min="9" max="9" width="11.75" bestFit="1" customWidth="1"/>
    <col min="11" max="11" width="9.25" bestFit="1" customWidth="1"/>
    <col min="12" max="12" width="10.375" bestFit="1" customWidth="1"/>
  </cols>
  <sheetData>
    <row r="1" spans="1:12" x14ac:dyDescent="0.2">
      <c r="A1" t="s">
        <v>24</v>
      </c>
    </row>
    <row r="2" spans="1:12" ht="15" x14ac:dyDescent="0.25">
      <c r="B2" s="57">
        <v>2013</v>
      </c>
      <c r="C2" s="58"/>
      <c r="D2" s="58"/>
      <c r="E2" s="59"/>
      <c r="F2" s="57">
        <v>2012</v>
      </c>
      <c r="G2" s="58"/>
      <c r="H2" s="58"/>
      <c r="I2" s="59"/>
      <c r="J2" s="51">
        <v>2011</v>
      </c>
      <c r="K2" s="52"/>
      <c r="L2" s="44"/>
    </row>
    <row r="3" spans="1:12" ht="15" x14ac:dyDescent="0.25">
      <c r="B3" s="13"/>
      <c r="C3" s="23" t="s">
        <v>56</v>
      </c>
      <c r="D3" s="60" t="s">
        <v>54</v>
      </c>
      <c r="E3" s="61"/>
      <c r="F3" s="24"/>
      <c r="G3" s="23" t="s">
        <v>56</v>
      </c>
      <c r="H3" s="60" t="s">
        <v>55</v>
      </c>
      <c r="I3" s="61"/>
      <c r="J3" s="25"/>
      <c r="K3" s="26" t="s">
        <v>56</v>
      </c>
      <c r="L3" s="1"/>
    </row>
    <row r="4" spans="1:12" ht="15" x14ac:dyDescent="0.25">
      <c r="A4" s="1" t="s">
        <v>25</v>
      </c>
      <c r="B4" s="14">
        <v>48461</v>
      </c>
      <c r="C4" s="15">
        <f t="shared" ref="C4:C18" si="0">B4/B$4</f>
        <v>1</v>
      </c>
      <c r="D4" s="16">
        <f t="shared" ref="D4:D18" si="1">B4-F4</f>
        <v>-850</v>
      </c>
      <c r="E4" s="17">
        <f>D4/F4</f>
        <v>-1.7237533207600738E-2</v>
      </c>
      <c r="F4" s="14">
        <v>49311</v>
      </c>
      <c r="G4" s="15">
        <f t="shared" ref="G4:G18" si="2">F4/F$4</f>
        <v>1</v>
      </c>
      <c r="H4" s="16">
        <f t="shared" ref="H4:H18" si="3">F4-J4</f>
        <v>1369</v>
      </c>
      <c r="I4" s="17">
        <f>H4/J4</f>
        <v>2.8555337699720497E-2</v>
      </c>
      <c r="J4" s="2">
        <v>47942</v>
      </c>
      <c r="K4" s="12">
        <f t="shared" ref="K4:K18" si="4">J4/J$4</f>
        <v>1</v>
      </c>
      <c r="L4" t="s">
        <v>115</v>
      </c>
    </row>
    <row r="5" spans="1:12" x14ac:dyDescent="0.2">
      <c r="A5" t="s">
        <v>26</v>
      </c>
      <c r="B5" s="14">
        <v>33670</v>
      </c>
      <c r="C5" s="15">
        <f t="shared" si="0"/>
        <v>0.69478549761664021</v>
      </c>
      <c r="D5" s="16">
        <f t="shared" si="1"/>
        <v>1145</v>
      </c>
      <c r="E5" s="17">
        <f t="shared" ref="E5:E18" si="5">D5/F5</f>
        <v>3.5203689469638741E-2</v>
      </c>
      <c r="F5" s="14">
        <v>32525</v>
      </c>
      <c r="G5" s="15">
        <f t="shared" si="2"/>
        <v>0.65958913832613408</v>
      </c>
      <c r="H5" s="16">
        <f t="shared" si="3"/>
        <v>859</v>
      </c>
      <c r="I5" s="17">
        <f t="shared" ref="I5:I18" si="6">H5/J5</f>
        <v>2.7126886881829092E-2</v>
      </c>
      <c r="J5" s="2">
        <v>31666</v>
      </c>
      <c r="K5" s="12">
        <f t="shared" si="4"/>
        <v>0.66050644528805635</v>
      </c>
    </row>
    <row r="6" spans="1:12" ht="15" x14ac:dyDescent="0.25">
      <c r="A6" s="1" t="s">
        <v>27</v>
      </c>
      <c r="B6" s="43">
        <f>B4-B5</f>
        <v>14791</v>
      </c>
      <c r="C6" s="40">
        <f t="shared" si="0"/>
        <v>0.30521450238335984</v>
      </c>
      <c r="D6" s="16">
        <f t="shared" si="1"/>
        <v>-1995</v>
      </c>
      <c r="E6" s="17">
        <f t="shared" si="5"/>
        <v>-0.1188490408673895</v>
      </c>
      <c r="F6" s="18">
        <f t="shared" ref="F6:J6" si="7">F4-F5</f>
        <v>16786</v>
      </c>
      <c r="G6" s="15">
        <f t="shared" si="2"/>
        <v>0.34041086167386586</v>
      </c>
      <c r="H6" s="16">
        <f t="shared" si="3"/>
        <v>510</v>
      </c>
      <c r="I6" s="17">
        <f t="shared" si="6"/>
        <v>3.1334480216269354E-2</v>
      </c>
      <c r="J6" s="3">
        <f t="shared" si="7"/>
        <v>16276</v>
      </c>
      <c r="K6" s="12">
        <f t="shared" si="4"/>
        <v>0.33949355471194359</v>
      </c>
      <c r="L6" t="s">
        <v>93</v>
      </c>
    </row>
    <row r="7" spans="1:12" x14ac:dyDescent="0.2">
      <c r="A7" t="s">
        <v>28</v>
      </c>
      <c r="B7" s="14">
        <v>924</v>
      </c>
      <c r="C7" s="15">
        <f t="shared" si="0"/>
        <v>1.9066878520872455E-2</v>
      </c>
      <c r="D7" s="16">
        <f t="shared" si="1"/>
        <v>-20</v>
      </c>
      <c r="E7" s="17">
        <f t="shared" si="5"/>
        <v>-2.1186440677966101E-2</v>
      </c>
      <c r="F7" s="14">
        <v>944</v>
      </c>
      <c r="G7" s="15">
        <f t="shared" si="2"/>
        <v>1.9143801585853056E-2</v>
      </c>
      <c r="H7" s="16">
        <f t="shared" si="3"/>
        <v>313</v>
      </c>
      <c r="I7" s="17">
        <f t="shared" si="6"/>
        <v>0.49603803486529319</v>
      </c>
      <c r="J7" s="2">
        <v>631</v>
      </c>
      <c r="K7" s="12">
        <f t="shared" si="4"/>
        <v>1.3161737098994618E-2</v>
      </c>
    </row>
    <row r="8" spans="1:12" x14ac:dyDescent="0.2">
      <c r="A8" t="s">
        <v>29</v>
      </c>
      <c r="B8" s="14">
        <v>4114</v>
      </c>
      <c r="C8" s="15">
        <f t="shared" si="0"/>
        <v>8.4893006747694025E-2</v>
      </c>
      <c r="D8" s="16">
        <f t="shared" si="1"/>
        <v>26</v>
      </c>
      <c r="E8" s="17">
        <f t="shared" si="5"/>
        <v>6.3600782778864967E-3</v>
      </c>
      <c r="F8" s="14">
        <v>4088</v>
      </c>
      <c r="G8" s="15">
        <f t="shared" si="2"/>
        <v>8.2902395003143309E-2</v>
      </c>
      <c r="H8" s="16">
        <f t="shared" si="3"/>
        <v>1326</v>
      </c>
      <c r="I8" s="17">
        <f t="shared" si="6"/>
        <v>0.48008689355539463</v>
      </c>
      <c r="J8" s="2">
        <v>2762</v>
      </c>
      <c r="K8" s="12">
        <f t="shared" si="4"/>
        <v>5.7611280297025572E-2</v>
      </c>
    </row>
    <row r="9" spans="1:12" x14ac:dyDescent="0.2">
      <c r="A9" t="s">
        <v>30</v>
      </c>
      <c r="B9" s="14">
        <v>424</v>
      </c>
      <c r="C9" s="15">
        <f t="shared" si="0"/>
        <v>8.7493035636903894E-3</v>
      </c>
      <c r="D9" s="16">
        <f t="shared" si="1"/>
        <v>-1483</v>
      </c>
      <c r="E9" s="17">
        <f t="shared" si="5"/>
        <v>-0.77766124803356051</v>
      </c>
      <c r="F9" s="14">
        <v>1907</v>
      </c>
      <c r="G9" s="15">
        <f t="shared" si="2"/>
        <v>3.8672912737523067E-2</v>
      </c>
      <c r="H9" s="16">
        <f t="shared" si="3"/>
        <v>1571</v>
      </c>
      <c r="I9" s="17">
        <f t="shared" si="6"/>
        <v>4.6755952380952381</v>
      </c>
      <c r="J9" s="2">
        <v>336</v>
      </c>
      <c r="K9" s="12">
        <f t="shared" si="4"/>
        <v>7.008468566184139E-3</v>
      </c>
    </row>
    <row r="10" spans="1:12" x14ac:dyDescent="0.2">
      <c r="A10" t="s">
        <v>89</v>
      </c>
      <c r="B10" s="14">
        <v>-1</v>
      </c>
      <c r="C10" s="15">
        <f t="shared" si="0"/>
        <v>-2.0635149914364127E-5</v>
      </c>
      <c r="D10" s="16">
        <f t="shared" si="1"/>
        <v>0</v>
      </c>
      <c r="E10" s="17">
        <f t="shared" si="5"/>
        <v>0</v>
      </c>
      <c r="F10" s="14">
        <v>-1</v>
      </c>
      <c r="G10" s="15">
        <f t="shared" si="2"/>
        <v>-2.0279450832471456E-5</v>
      </c>
      <c r="H10" s="16">
        <f t="shared" si="3"/>
        <v>10</v>
      </c>
      <c r="I10" s="17">
        <f t="shared" si="6"/>
        <v>-0.90909090909090906</v>
      </c>
      <c r="J10" s="2">
        <v>-11</v>
      </c>
      <c r="K10" s="12">
        <f t="shared" si="4"/>
        <v>-2.2944391139293312E-4</v>
      </c>
    </row>
    <row r="11" spans="1:12" ht="15" x14ac:dyDescent="0.25">
      <c r="A11" s="1" t="s">
        <v>31</v>
      </c>
      <c r="B11" s="18">
        <f>SUM(B7:B10)</f>
        <v>5461</v>
      </c>
      <c r="C11" s="15">
        <f t="shared" si="0"/>
        <v>0.1126885536823425</v>
      </c>
      <c r="D11" s="16">
        <f t="shared" si="1"/>
        <v>-1477</v>
      </c>
      <c r="E11" s="17">
        <f t="shared" si="5"/>
        <v>-0.21288555779763621</v>
      </c>
      <c r="F11" s="18">
        <f>SUM(F7:F10)</f>
        <v>6938</v>
      </c>
      <c r="G11" s="15">
        <f t="shared" si="2"/>
        <v>0.14069882987568696</v>
      </c>
      <c r="H11" s="16">
        <f t="shared" si="3"/>
        <v>3220</v>
      </c>
      <c r="I11" s="17">
        <f t="shared" si="6"/>
        <v>0.86605701990317374</v>
      </c>
      <c r="J11" s="3">
        <f>SUM(J7:J10)</f>
        <v>3718</v>
      </c>
      <c r="K11" s="12">
        <f t="shared" si="4"/>
        <v>7.7552042050811398E-2</v>
      </c>
      <c r="L11" t="s">
        <v>117</v>
      </c>
    </row>
    <row r="12" spans="1:12" ht="15" x14ac:dyDescent="0.25">
      <c r="A12" s="1" t="s">
        <v>32</v>
      </c>
      <c r="B12" s="38">
        <f>B6-B11</f>
        <v>9330</v>
      </c>
      <c r="C12" s="40">
        <f t="shared" si="0"/>
        <v>0.1925259487010173</v>
      </c>
      <c r="D12" s="16">
        <f t="shared" si="1"/>
        <v>-518</v>
      </c>
      <c r="E12" s="17">
        <f t="shared" si="5"/>
        <v>-5.2599512591389112E-2</v>
      </c>
      <c r="F12" s="38">
        <f>F6-F11</f>
        <v>9848</v>
      </c>
      <c r="G12" s="40">
        <f t="shared" si="2"/>
        <v>0.1997120317981789</v>
      </c>
      <c r="H12" s="16">
        <f t="shared" si="3"/>
        <v>-2710</v>
      </c>
      <c r="I12" s="17">
        <f t="shared" si="6"/>
        <v>-0.21579869405956362</v>
      </c>
      <c r="J12" s="39">
        <f>J6-J11</f>
        <v>12558</v>
      </c>
      <c r="K12" s="36">
        <f t="shared" si="4"/>
        <v>0.26194151266113219</v>
      </c>
      <c r="L12" t="s">
        <v>92</v>
      </c>
    </row>
    <row r="13" spans="1:12" x14ac:dyDescent="0.2">
      <c r="A13" t="s">
        <v>34</v>
      </c>
      <c r="B13" s="14">
        <v>-386</v>
      </c>
      <c r="C13" s="15">
        <f t="shared" si="0"/>
        <v>-7.965167866944553E-3</v>
      </c>
      <c r="D13" s="16">
        <f t="shared" si="1"/>
        <v>136</v>
      </c>
      <c r="E13" s="17">
        <f t="shared" si="5"/>
        <v>-0.26053639846743293</v>
      </c>
      <c r="F13" s="14">
        <v>-522</v>
      </c>
      <c r="G13" s="15">
        <f t="shared" si="2"/>
        <v>-1.05858733345501E-2</v>
      </c>
      <c r="H13" s="16">
        <f t="shared" si="3"/>
        <v>157</v>
      </c>
      <c r="I13" s="17">
        <f t="shared" si="6"/>
        <v>-0.23122238586156113</v>
      </c>
      <c r="J13" s="2">
        <v>-679</v>
      </c>
      <c r="K13" s="12">
        <f t="shared" si="4"/>
        <v>-1.416294689416378E-2</v>
      </c>
      <c r="L13" t="s">
        <v>116</v>
      </c>
    </row>
    <row r="14" spans="1:12" x14ac:dyDescent="0.2">
      <c r="A14" t="s">
        <v>33</v>
      </c>
      <c r="B14" s="14">
        <v>219</v>
      </c>
      <c r="C14" s="15">
        <f t="shared" si="0"/>
        <v>4.5190978312457438E-3</v>
      </c>
      <c r="D14" s="16">
        <f t="shared" si="1"/>
        <v>-82</v>
      </c>
      <c r="E14" s="17">
        <f t="shared" si="5"/>
        <v>-0.27242524916943522</v>
      </c>
      <c r="F14" s="14">
        <v>301</v>
      </c>
      <c r="G14" s="15">
        <f t="shared" si="2"/>
        <v>6.1041147005739087E-3</v>
      </c>
      <c r="H14" s="16">
        <f t="shared" si="3"/>
        <v>-125</v>
      </c>
      <c r="I14" s="17">
        <f t="shared" si="6"/>
        <v>-0.29342723004694837</v>
      </c>
      <c r="J14" s="2">
        <v>426</v>
      </c>
      <c r="K14" s="12">
        <f t="shared" si="4"/>
        <v>8.8857369321263188E-3</v>
      </c>
    </row>
    <row r="15" spans="1:12" x14ac:dyDescent="0.2">
      <c r="A15" t="s">
        <v>35</v>
      </c>
      <c r="B15" s="18">
        <f>B13+B14</f>
        <v>-167</v>
      </c>
      <c r="C15" s="15">
        <f t="shared" si="0"/>
        <v>-3.4460700356988092E-3</v>
      </c>
      <c r="D15" s="16">
        <f t="shared" si="1"/>
        <v>54</v>
      </c>
      <c r="E15" s="17">
        <f t="shared" si="5"/>
        <v>-0.24434389140271492</v>
      </c>
      <c r="F15" s="18">
        <f>F13+F14</f>
        <v>-221</v>
      </c>
      <c r="G15" s="15">
        <f t="shared" si="2"/>
        <v>-4.4817586339761916E-3</v>
      </c>
      <c r="H15" s="16">
        <f t="shared" si="3"/>
        <v>32</v>
      </c>
      <c r="I15" s="17">
        <f t="shared" si="6"/>
        <v>-0.12648221343873517</v>
      </c>
      <c r="J15" s="18">
        <f>J13+J14</f>
        <v>-253</v>
      </c>
      <c r="K15" s="12">
        <f t="shared" si="4"/>
        <v>-5.2772099620374616E-3</v>
      </c>
    </row>
    <row r="16" spans="1:12" ht="15" x14ac:dyDescent="0.25">
      <c r="A16" s="8" t="s">
        <v>36</v>
      </c>
      <c r="B16" s="14">
        <f>B12+B15</f>
        <v>9163</v>
      </c>
      <c r="C16" s="15">
        <f t="shared" si="0"/>
        <v>0.1890798786653185</v>
      </c>
      <c r="D16" s="16">
        <f t="shared" si="1"/>
        <v>-464</v>
      </c>
      <c r="E16" s="17">
        <f t="shared" si="5"/>
        <v>-4.8197777085280981E-2</v>
      </c>
      <c r="F16" s="14">
        <f>F12+F15</f>
        <v>9627</v>
      </c>
      <c r="G16" s="15">
        <f t="shared" si="2"/>
        <v>0.19523027316420272</v>
      </c>
      <c r="H16" s="16">
        <f t="shared" si="3"/>
        <v>-2678</v>
      </c>
      <c r="I16" s="17">
        <f t="shared" si="6"/>
        <v>-0.21763510767980496</v>
      </c>
      <c r="J16" s="14">
        <f>J12+J15</f>
        <v>12305</v>
      </c>
      <c r="K16" s="12">
        <f t="shared" si="4"/>
        <v>0.25666430269909474</v>
      </c>
    </row>
    <row r="17" spans="1:12" ht="15" thickBot="1" x14ac:dyDescent="0.25">
      <c r="A17" t="s">
        <v>37</v>
      </c>
      <c r="B17" s="19">
        <v>2782</v>
      </c>
      <c r="C17" s="15">
        <f t="shared" si="0"/>
        <v>5.7406987061761006E-2</v>
      </c>
      <c r="D17" s="16">
        <f t="shared" si="1"/>
        <v>155</v>
      </c>
      <c r="E17" s="17">
        <f t="shared" si="5"/>
        <v>5.9002664636467451E-2</v>
      </c>
      <c r="F17" s="19">
        <v>2627</v>
      </c>
      <c r="G17" s="15">
        <f t="shared" si="2"/>
        <v>5.3274117336902516E-2</v>
      </c>
      <c r="H17" s="16">
        <f t="shared" si="3"/>
        <v>-2026</v>
      </c>
      <c r="I17" s="17">
        <f t="shared" si="6"/>
        <v>-0.43541800988609497</v>
      </c>
      <c r="J17" s="9">
        <v>4653</v>
      </c>
      <c r="K17" s="12">
        <f t="shared" si="4"/>
        <v>9.7054774519210713E-2</v>
      </c>
    </row>
    <row r="18" spans="1:12" ht="15.75" thickBot="1" x14ac:dyDescent="0.3">
      <c r="A18" s="1" t="s">
        <v>38</v>
      </c>
      <c r="B18" s="45">
        <f>B16-B17</f>
        <v>6381</v>
      </c>
      <c r="C18" s="20">
        <f t="shared" si="0"/>
        <v>0.1316728916035575</v>
      </c>
      <c r="D18" s="21">
        <f t="shared" si="1"/>
        <v>-619</v>
      </c>
      <c r="E18" s="22">
        <f t="shared" si="5"/>
        <v>-8.8428571428571426E-2</v>
      </c>
      <c r="F18" s="45">
        <f t="shared" ref="F18:J18" si="8">F16-F17</f>
        <v>7000</v>
      </c>
      <c r="G18" s="20">
        <f t="shared" si="2"/>
        <v>0.1419561558273002</v>
      </c>
      <c r="H18" s="21">
        <f t="shared" si="3"/>
        <v>-652</v>
      </c>
      <c r="I18" s="22">
        <f t="shared" si="6"/>
        <v>-8.5206481965499223E-2</v>
      </c>
      <c r="J18" s="46">
        <f t="shared" si="8"/>
        <v>7652</v>
      </c>
      <c r="K18" s="12">
        <f t="shared" si="4"/>
        <v>0.15960952817988402</v>
      </c>
      <c r="L18" t="s">
        <v>94</v>
      </c>
    </row>
    <row r="19" spans="1:12" ht="15" thickTop="1" x14ac:dyDescent="0.2">
      <c r="A19" t="s">
        <v>59</v>
      </c>
      <c r="B19" s="2">
        <v>2594</v>
      </c>
      <c r="C19" s="2"/>
      <c r="D19" s="2"/>
      <c r="E19" s="30"/>
      <c r="F19" s="2">
        <v>2475</v>
      </c>
      <c r="G19" s="2"/>
      <c r="H19" s="2"/>
      <c r="I19" s="30"/>
      <c r="J19" s="2">
        <v>2394</v>
      </c>
      <c r="K19" s="2"/>
    </row>
    <row r="20" spans="1:12" ht="15" x14ac:dyDescent="0.25">
      <c r="A20" s="1" t="s">
        <v>57</v>
      </c>
      <c r="B20" s="12">
        <f>B17/B16</f>
        <v>0.30361235403252212</v>
      </c>
      <c r="C20" s="2"/>
      <c r="D20" s="2"/>
      <c r="E20" s="31"/>
      <c r="F20" s="12">
        <f>F17/F16</f>
        <v>0.27287836293757139</v>
      </c>
      <c r="G20" s="2"/>
      <c r="H20" s="2"/>
      <c r="I20" s="31"/>
      <c r="J20" s="12">
        <f>J17/J16</f>
        <v>0.37813896789922796</v>
      </c>
      <c r="K20" s="2"/>
    </row>
    <row r="21" spans="1:12" ht="15" x14ac:dyDescent="0.25">
      <c r="A21" s="28" t="s">
        <v>58</v>
      </c>
      <c r="B21" s="39">
        <f>B12+B19</f>
        <v>11924</v>
      </c>
      <c r="C21" s="2"/>
      <c r="D21" s="21">
        <f>B21-F21</f>
        <v>-399</v>
      </c>
      <c r="E21" s="22">
        <f t="shared" ref="E21" si="9">D21/F21</f>
        <v>-3.2378479266412401E-2</v>
      </c>
      <c r="F21" s="39">
        <f>F12+F19</f>
        <v>12323</v>
      </c>
      <c r="G21" s="2"/>
      <c r="H21" s="21">
        <f>F21-J21</f>
        <v>-2629</v>
      </c>
      <c r="I21" s="22">
        <f t="shared" ref="I21" si="10">H21/J21</f>
        <v>-0.17582932049224184</v>
      </c>
      <c r="J21" s="39">
        <f>J12+J19</f>
        <v>14952</v>
      </c>
      <c r="K21" s="2"/>
      <c r="L21" t="s">
        <v>95</v>
      </c>
    </row>
    <row r="22" spans="1:12" x14ac:dyDescent="0.2">
      <c r="B22" s="2"/>
      <c r="C22" s="2"/>
      <c r="D22" s="2"/>
      <c r="E22" s="31"/>
      <c r="F22" s="2"/>
      <c r="G22" s="2"/>
      <c r="H22" s="2"/>
      <c r="I22" s="31"/>
      <c r="J22" s="2"/>
      <c r="K22" s="2"/>
    </row>
    <row r="23" spans="1:12" x14ac:dyDescent="0.2">
      <c r="A23" s="34" t="s">
        <v>60</v>
      </c>
      <c r="B23" s="12">
        <f>B18/BS!B37</f>
        <v>0.18054494525082759</v>
      </c>
      <c r="E23" s="32"/>
      <c r="F23" s="12">
        <f>F18/BS!D37</f>
        <v>0.17601649526012725</v>
      </c>
      <c r="I23" s="32"/>
      <c r="J23" s="12"/>
    </row>
    <row r="24" spans="1:12" x14ac:dyDescent="0.2">
      <c r="A24" s="34" t="s">
        <v>61</v>
      </c>
      <c r="B24" s="12">
        <f>(B18+B15)/BS!B38</f>
        <v>0.11760697995722694</v>
      </c>
      <c r="E24" s="32"/>
      <c r="F24" s="12">
        <f>(F18+F15)/BS!D38</f>
        <v>0.12503688947912056</v>
      </c>
    </row>
    <row r="27" spans="1:12" ht="15" x14ac:dyDescent="0.25">
      <c r="A27" s="41"/>
      <c r="B27" s="53"/>
      <c r="C27" s="53"/>
      <c r="D27" s="53"/>
      <c r="E27" s="53"/>
      <c r="F27" s="41"/>
    </row>
    <row r="28" spans="1:12" x14ac:dyDescent="0.2">
      <c r="B28" s="54"/>
      <c r="C28" s="54"/>
      <c r="D28" s="55"/>
      <c r="E28" s="55"/>
    </row>
    <row r="29" spans="1:12" ht="14.45" customHeight="1" x14ac:dyDescent="0.2">
      <c r="B29" s="47"/>
      <c r="C29" s="47"/>
      <c r="D29" s="56"/>
      <c r="E29" s="56"/>
    </row>
    <row r="30" spans="1:12" ht="14.45" customHeight="1" x14ac:dyDescent="0.2">
      <c r="B30" s="47"/>
      <c r="C30" s="47"/>
      <c r="D30" s="56"/>
      <c r="E30" s="56"/>
    </row>
    <row r="31" spans="1:12" ht="23.65" customHeight="1" x14ac:dyDescent="0.2">
      <c r="A31" s="42"/>
      <c r="B31" s="56"/>
      <c r="C31" s="56"/>
      <c r="D31" s="56"/>
      <c r="E31" s="56"/>
    </row>
    <row r="32" spans="1:12" ht="14.45" customHeight="1" x14ac:dyDescent="0.2">
      <c r="A32" s="47"/>
      <c r="B32" s="47"/>
      <c r="C32" s="47"/>
      <c r="D32" s="47"/>
      <c r="E32" s="47"/>
      <c r="F32" s="47"/>
      <c r="G32" s="47"/>
      <c r="H32" s="47"/>
      <c r="I32" s="47"/>
      <c r="J32" s="47"/>
      <c r="K32" s="47"/>
    </row>
    <row r="33" spans="1:11" x14ac:dyDescent="0.2">
      <c r="A33" s="47"/>
      <c r="B33" s="47"/>
      <c r="C33" s="47"/>
      <c r="D33" s="47"/>
      <c r="E33" s="47"/>
      <c r="F33" s="47"/>
      <c r="G33" s="47"/>
      <c r="H33" s="47"/>
      <c r="I33" s="47"/>
      <c r="J33" s="47"/>
      <c r="K33" s="47"/>
    </row>
    <row r="34" spans="1:11" x14ac:dyDescent="0.2">
      <c r="A34" s="47"/>
      <c r="B34" s="47"/>
      <c r="C34" s="47"/>
      <c r="D34" s="47"/>
      <c r="E34" s="47"/>
      <c r="F34" s="47"/>
      <c r="G34" s="47"/>
      <c r="H34" s="47"/>
      <c r="I34" s="47"/>
      <c r="J34" s="47"/>
      <c r="K34" s="47"/>
    </row>
    <row r="36" spans="1:11" x14ac:dyDescent="0.2">
      <c r="A36" s="47"/>
      <c r="B36" s="47"/>
      <c r="C36" s="47"/>
      <c r="D36" s="47"/>
      <c r="E36" s="47"/>
      <c r="F36" s="47"/>
      <c r="G36" s="47"/>
      <c r="H36" s="47"/>
      <c r="I36" s="47"/>
      <c r="J36" s="47"/>
      <c r="K36" s="47"/>
    </row>
    <row r="37" spans="1:11" x14ac:dyDescent="0.2">
      <c r="A37" s="47"/>
      <c r="B37" s="47"/>
      <c r="C37" s="47"/>
      <c r="D37" s="47"/>
      <c r="E37" s="47"/>
      <c r="F37" s="47"/>
      <c r="G37" s="47"/>
      <c r="H37" s="47"/>
      <c r="I37" s="47"/>
      <c r="J37" s="47"/>
      <c r="K37" s="47"/>
    </row>
    <row r="38" spans="1:11" x14ac:dyDescent="0.2">
      <c r="A38" s="47"/>
      <c r="B38" s="47"/>
      <c r="C38" s="47"/>
      <c r="D38" s="47"/>
      <c r="E38" s="47"/>
      <c r="F38" s="47"/>
      <c r="G38" s="47"/>
      <c r="H38" s="47"/>
      <c r="I38" s="47"/>
      <c r="J38" s="47"/>
      <c r="K38" s="47"/>
    </row>
  </sheetData>
  <mergeCells count="17">
    <mergeCell ref="B31:C31"/>
    <mergeCell ref="D31:E31"/>
    <mergeCell ref="A32:K34"/>
    <mergeCell ref="A36:K38"/>
    <mergeCell ref="J2:K2"/>
    <mergeCell ref="B27:C27"/>
    <mergeCell ref="B28:C28"/>
    <mergeCell ref="B29:C29"/>
    <mergeCell ref="B30:C30"/>
    <mergeCell ref="D27:E27"/>
    <mergeCell ref="D28:E28"/>
    <mergeCell ref="D29:E29"/>
    <mergeCell ref="D30:E30"/>
    <mergeCell ref="B2:E2"/>
    <mergeCell ref="F2:I2"/>
    <mergeCell ref="D3:E3"/>
    <mergeCell ref="H3:I3"/>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rightToLeft="1" tabSelected="1" workbookViewId="0">
      <selection activeCell="F4" sqref="F4"/>
    </sheetView>
  </sheetViews>
  <sheetFormatPr defaultRowHeight="14.25" x14ac:dyDescent="0.2"/>
  <cols>
    <col min="1" max="1" width="31.375" bestFit="1" customWidth="1"/>
    <col min="2" max="2" width="10.375" bestFit="1" customWidth="1"/>
    <col min="3" max="4" width="10.375" customWidth="1"/>
    <col min="5" max="5" width="8.875" bestFit="1" customWidth="1"/>
    <col min="6" max="7" width="8.875" customWidth="1"/>
    <col min="8" max="8" width="8.875" bestFit="1" customWidth="1"/>
  </cols>
  <sheetData>
    <row r="1" spans="1:9" x14ac:dyDescent="0.2">
      <c r="A1" t="s">
        <v>24</v>
      </c>
    </row>
    <row r="2" spans="1:9" ht="15" x14ac:dyDescent="0.25">
      <c r="B2" s="52">
        <v>2013</v>
      </c>
      <c r="C2" s="52"/>
      <c r="D2" s="52"/>
      <c r="E2" s="52">
        <v>2012</v>
      </c>
      <c r="F2" s="52"/>
      <c r="G2" s="52"/>
      <c r="H2" s="25">
        <v>2011</v>
      </c>
    </row>
    <row r="3" spans="1:9" x14ac:dyDescent="0.2">
      <c r="B3" s="7"/>
      <c r="C3" s="56" t="s">
        <v>121</v>
      </c>
      <c r="D3" s="56"/>
      <c r="E3" s="7"/>
      <c r="F3" s="56" t="s">
        <v>54</v>
      </c>
      <c r="G3" s="56"/>
      <c r="H3" s="7"/>
    </row>
    <row r="4" spans="1:9" ht="15" x14ac:dyDescent="0.25">
      <c r="A4" s="1" t="s">
        <v>77</v>
      </c>
    </row>
    <row r="5" spans="1:9" x14ac:dyDescent="0.2">
      <c r="A5" s="10" t="s">
        <v>41</v>
      </c>
      <c r="B5" s="2">
        <f>IS!B18</f>
        <v>6381</v>
      </c>
      <c r="C5" s="2"/>
      <c r="D5" s="2"/>
      <c r="E5" s="2">
        <f>IS!F18</f>
        <v>7000</v>
      </c>
      <c r="F5" s="2"/>
      <c r="G5" s="2"/>
      <c r="H5" s="2">
        <f>IS!J18</f>
        <v>7652</v>
      </c>
    </row>
    <row r="6" spans="1:9" x14ac:dyDescent="0.2">
      <c r="A6" t="s">
        <v>42</v>
      </c>
      <c r="B6" s="2">
        <f>5387-423-2713</f>
        <v>2251</v>
      </c>
      <c r="C6" s="2"/>
      <c r="D6" s="2"/>
      <c r="E6" s="2">
        <f>6610-1177-4255</f>
        <v>1178</v>
      </c>
      <c r="F6" s="2"/>
      <c r="G6" s="2"/>
      <c r="H6" s="2">
        <f>9767-1737-5501</f>
        <v>2529</v>
      </c>
    </row>
    <row r="7" spans="1:9" ht="15.75" thickBot="1" x14ac:dyDescent="0.3">
      <c r="A7" s="1" t="s">
        <v>43</v>
      </c>
      <c r="B7" s="11">
        <f>SUM(B5:B6)</f>
        <v>8632</v>
      </c>
      <c r="C7" s="11">
        <f>B7-E7</f>
        <v>454</v>
      </c>
      <c r="D7" s="33">
        <f>-C7/E7</f>
        <v>-5.5514795793592565E-2</v>
      </c>
      <c r="E7" s="11">
        <f t="shared" ref="E7:H7" si="0">SUM(E5:E6)</f>
        <v>8178</v>
      </c>
      <c r="F7" s="11">
        <f>E7-H7</f>
        <v>-2003</v>
      </c>
      <c r="G7" s="33">
        <f>F7/H7</f>
        <v>-0.19673902367154503</v>
      </c>
      <c r="H7" s="11">
        <f t="shared" si="0"/>
        <v>10181</v>
      </c>
      <c r="I7" t="s">
        <v>76</v>
      </c>
    </row>
    <row r="8" spans="1:9" ht="15" x14ac:dyDescent="0.25">
      <c r="A8" s="1" t="s">
        <v>78</v>
      </c>
      <c r="B8" s="2"/>
      <c r="C8" s="2"/>
      <c r="D8" s="2"/>
      <c r="E8" s="2"/>
      <c r="F8" s="2"/>
      <c r="G8" s="2"/>
      <c r="H8" s="2"/>
    </row>
    <row r="9" spans="1:9" x14ac:dyDescent="0.2">
      <c r="A9" t="s">
        <v>90</v>
      </c>
      <c r="B9" s="2">
        <v>-714</v>
      </c>
      <c r="C9" s="2"/>
      <c r="D9" s="2"/>
      <c r="E9" s="2">
        <v>44</v>
      </c>
      <c r="F9" s="2"/>
      <c r="G9" s="2"/>
      <c r="H9" s="2">
        <v>376</v>
      </c>
    </row>
    <row r="10" spans="1:9" x14ac:dyDescent="0.2">
      <c r="A10" t="s">
        <v>44</v>
      </c>
      <c r="B10" s="2">
        <v>-4181</v>
      </c>
      <c r="C10" s="2"/>
      <c r="D10" s="2"/>
      <c r="E10" s="2">
        <v>-496</v>
      </c>
      <c r="F10" s="2"/>
      <c r="G10" s="2"/>
      <c r="H10" s="2">
        <v>-2027</v>
      </c>
    </row>
    <row r="11" spans="1:9" x14ac:dyDescent="0.2">
      <c r="A11" t="s">
        <v>45</v>
      </c>
      <c r="B11" s="2">
        <v>66</v>
      </c>
      <c r="C11" s="2"/>
      <c r="D11" s="2"/>
      <c r="E11" s="2">
        <v>164</v>
      </c>
      <c r="F11" s="2"/>
      <c r="G11" s="2"/>
      <c r="H11" s="2">
        <v>589</v>
      </c>
    </row>
    <row r="12" spans="1:9" ht="15.75" thickBot="1" x14ac:dyDescent="0.3">
      <c r="A12" s="1" t="s">
        <v>43</v>
      </c>
      <c r="B12" s="11">
        <f>SUM(B9:B11)</f>
        <v>-4829</v>
      </c>
      <c r="C12" s="11">
        <f>B12-E12</f>
        <v>-4541</v>
      </c>
      <c r="D12" s="33">
        <f>C12/E12</f>
        <v>15.767361111111111</v>
      </c>
      <c r="E12" s="11">
        <f>SUM(E9:E11)</f>
        <v>-288</v>
      </c>
      <c r="F12" s="11">
        <f>E12-H12</f>
        <v>774</v>
      </c>
      <c r="G12" s="33">
        <f>-F12/H12</f>
        <v>0.72881355932203384</v>
      </c>
      <c r="H12" s="11">
        <f>SUM(H9:H11)</f>
        <v>-1062</v>
      </c>
      <c r="I12" t="s">
        <v>103</v>
      </c>
    </row>
    <row r="13" spans="1:9" ht="15" x14ac:dyDescent="0.25">
      <c r="A13" s="1" t="s">
        <v>79</v>
      </c>
      <c r="B13" s="2"/>
      <c r="C13" s="2"/>
      <c r="D13" s="2"/>
      <c r="E13" s="2"/>
      <c r="F13" s="2"/>
      <c r="G13" s="2"/>
      <c r="H13" s="2"/>
    </row>
    <row r="14" spans="1:9" x14ac:dyDescent="0.2">
      <c r="A14" t="s">
        <v>47</v>
      </c>
      <c r="B14" s="2">
        <v>-10807</v>
      </c>
      <c r="C14" s="2"/>
      <c r="D14" s="2"/>
      <c r="E14" s="2">
        <v>-9101</v>
      </c>
      <c r="F14" s="2"/>
      <c r="G14" s="2"/>
      <c r="H14" s="2">
        <v>-9101</v>
      </c>
    </row>
    <row r="15" spans="1:9" x14ac:dyDescent="0.2">
      <c r="A15" t="s">
        <v>46</v>
      </c>
      <c r="B15" s="2">
        <v>2953</v>
      </c>
      <c r="C15" s="2"/>
      <c r="D15" s="2"/>
      <c r="E15" s="2"/>
      <c r="F15" s="2"/>
      <c r="G15" s="2"/>
      <c r="H15" s="2"/>
    </row>
    <row r="16" spans="1:9" ht="15.75" thickBot="1" x14ac:dyDescent="0.3">
      <c r="A16" s="1" t="s">
        <v>62</v>
      </c>
      <c r="B16" s="11">
        <f>SUM(B14:B15)</f>
        <v>-7854</v>
      </c>
      <c r="C16" s="11">
        <f>-(B16-E16)</f>
        <v>-1247</v>
      </c>
      <c r="D16" s="33">
        <f>C16/-E16</f>
        <v>-0.13701791011976705</v>
      </c>
      <c r="E16" s="11">
        <f>SUM(E14:E15)</f>
        <v>-9101</v>
      </c>
      <c r="F16" s="11">
        <f>-(E16-H16)</f>
        <v>0</v>
      </c>
      <c r="G16" s="33">
        <f>F16/H16</f>
        <v>0</v>
      </c>
      <c r="H16" s="11">
        <f>SUM(H14:H15)</f>
        <v>-9101</v>
      </c>
      <c r="I16" t="s">
        <v>118</v>
      </c>
    </row>
    <row r="17" spans="1:8" ht="15" x14ac:dyDescent="0.25">
      <c r="A17" s="1" t="s">
        <v>91</v>
      </c>
      <c r="B17" s="39">
        <f>B7+B12+B16</f>
        <v>-4051</v>
      </c>
      <c r="C17" s="2"/>
      <c r="D17" s="2"/>
      <c r="E17" s="39">
        <f>E7+E12+E16</f>
        <v>-1211</v>
      </c>
      <c r="F17" s="2"/>
      <c r="G17" s="2"/>
      <c r="H17" s="39">
        <f>H7+H12+H16</f>
        <v>18</v>
      </c>
    </row>
    <row r="18" spans="1:8" ht="15" x14ac:dyDescent="0.25">
      <c r="A18" s="1" t="s">
        <v>48</v>
      </c>
      <c r="B18" s="5">
        <f>E20</f>
        <v>4084</v>
      </c>
      <c r="E18" s="5">
        <f>H20</f>
        <v>5391</v>
      </c>
      <c r="H18">
        <v>5307</v>
      </c>
    </row>
    <row r="19" spans="1:8" x14ac:dyDescent="0.2">
      <c r="A19" t="s">
        <v>49</v>
      </c>
      <c r="B19">
        <v>57</v>
      </c>
      <c r="E19">
        <v>-96</v>
      </c>
      <c r="H19">
        <v>66</v>
      </c>
    </row>
    <row r="20" spans="1:8" ht="15.75" thickBot="1" x14ac:dyDescent="0.3">
      <c r="A20" s="1" t="s">
        <v>50</v>
      </c>
      <c r="B20" s="4">
        <f>SUM(B17:B19)</f>
        <v>90</v>
      </c>
      <c r="C20" s="4"/>
      <c r="D20" s="4"/>
      <c r="E20" s="4">
        <f t="shared" ref="E20:H20" si="1">SUM(E17:E19)</f>
        <v>4084</v>
      </c>
      <c r="F20" s="4"/>
      <c r="G20" s="4"/>
      <c r="H20" s="4">
        <f t="shared" si="1"/>
        <v>5391</v>
      </c>
    </row>
    <row r="21" spans="1:8" ht="15" thickTop="1" x14ac:dyDescent="0.2">
      <c r="B21" s="2"/>
      <c r="C21" s="2"/>
      <c r="D21" s="2"/>
      <c r="E21" s="2"/>
      <c r="F21" s="2"/>
      <c r="G21" s="2"/>
      <c r="H21" s="2"/>
    </row>
    <row r="22" spans="1:8" ht="15" x14ac:dyDescent="0.25">
      <c r="A22" s="1" t="s">
        <v>96</v>
      </c>
    </row>
    <row r="26" spans="1:8" ht="14.45" customHeight="1" x14ac:dyDescent="0.2"/>
  </sheetData>
  <mergeCells count="4">
    <mergeCell ref="C3:D3"/>
    <mergeCell ref="B2:D2"/>
    <mergeCell ref="F3:G3"/>
    <mergeCell ref="E2:G2"/>
  </mergeCells>
  <pageMargins left="0.25" right="0.25"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BS</vt:lpstr>
      <vt:lpstr>IS</vt:lpstr>
      <vt:lpstr>CF</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Edith Friedmann Weiss</dc:creator>
  <cp:lastModifiedBy>User</cp:lastModifiedBy>
  <cp:lastPrinted>2015-06-22T17:39:43Z</cp:lastPrinted>
  <dcterms:created xsi:type="dcterms:W3CDTF">2015-06-14T14:27:15Z</dcterms:created>
  <dcterms:modified xsi:type="dcterms:W3CDTF">2015-07-26T08:25:09Z</dcterms:modified>
</cp:coreProperties>
</file>